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545" activeTab="5"/>
  </bookViews>
  <sheets>
    <sheet name="нагрузка ПС" sheetId="1" r:id="rId1"/>
    <sheet name="Ведомость учета" sheetId="2" r:id="rId2"/>
    <sheet name="АЧР+гр вр" sheetId="3" r:id="rId3"/>
    <sheet name="Лист1" sheetId="4" r:id="rId4"/>
    <sheet name="сводная табл1" sheetId="5" r:id="rId5"/>
    <sheet name="табл2 субаб и сторонние" sheetId="6" r:id="rId6"/>
  </sheets>
  <definedNames>
    <definedName name="_xlnm.Print_Area" localSheetId="2">'АЧР+гр вр'!$A$1:$AF$24</definedName>
    <definedName name="_xlnm.Print_Area" localSheetId="4">'сводная табл1'!$B$3:$K$40</definedName>
    <definedName name="_xlnm.Print_Area" localSheetId="5">'табл2 субаб и сторонние'!$A$1:$Q$37</definedName>
  </definedNames>
  <calcPr fullCalcOnLoad="1"/>
</workbook>
</file>

<file path=xl/sharedStrings.xml><?xml version="1.0" encoding="utf-8"?>
<sst xmlns="http://schemas.openxmlformats.org/spreadsheetml/2006/main" count="313" uniqueCount="208">
  <si>
    <t>Часы</t>
  </si>
  <si>
    <t>(сумма</t>
  </si>
  <si>
    <t>колонок</t>
  </si>
  <si>
    <t>итого</t>
  </si>
  <si>
    <t>0-1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</si>
  <si>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</si>
  <si>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</si>
  <si>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</si>
  <si>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</si>
  <si>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</si>
  <si>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</si>
  <si>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</si>
  <si>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</si>
  <si>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</si>
  <si>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</si>
  <si>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</si>
  <si>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Итого, с учетом сторонних</t>
  </si>
  <si>
    <t>1-2</t>
  </si>
  <si>
    <t>2-3</t>
  </si>
  <si>
    <t>3-4</t>
  </si>
  <si>
    <t>4-5</t>
  </si>
  <si>
    <t>5-6</t>
  </si>
  <si>
    <t>6-7</t>
  </si>
  <si>
    <t>7-8</t>
  </si>
  <si>
    <t>8-9</t>
  </si>
  <si>
    <t>10-11</t>
  </si>
  <si>
    <t>11-12</t>
  </si>
  <si>
    <t>12-13</t>
  </si>
  <si>
    <t>9-10</t>
  </si>
  <si>
    <t xml:space="preserve">    Сводная  таблица  нагрузок                             </t>
  </si>
  <si>
    <t>Потребитель (абонент), МВт</t>
  </si>
  <si>
    <t>Производ-ственная</t>
  </si>
  <si>
    <t>Непроиз-водственная</t>
  </si>
  <si>
    <t xml:space="preserve">Двухста-вочные </t>
  </si>
  <si>
    <t>Прочие односта вочные</t>
  </si>
  <si>
    <t>Бюд-жетные</t>
  </si>
  <si>
    <t>7=1+2+3+4+5+6</t>
  </si>
  <si>
    <t>Итого сторонние,  МВт</t>
  </si>
  <si>
    <t>Место установки</t>
  </si>
  <si>
    <t>Номера подключенных к АЧР линий, трансформаторов</t>
  </si>
  <si>
    <t>Сторонние потреби-тели , МВт</t>
  </si>
  <si>
    <t>Актив. Мощность</t>
  </si>
  <si>
    <t>Реакт. Мощность</t>
  </si>
  <si>
    <t>Субабоненты                                              по тарифным группам, МВт</t>
  </si>
  <si>
    <t>Всего по договору,   без сторонних, МВт</t>
  </si>
  <si>
    <t>МВт</t>
  </si>
  <si>
    <t>МВар</t>
  </si>
  <si>
    <t>Сводная  таблица  нагрузок  субабонентов                                                                                           и сторонних потребителей</t>
  </si>
  <si>
    <t xml:space="preserve">Сторонние </t>
  </si>
  <si>
    <t>Формы бланков</t>
  </si>
  <si>
    <t>Технический руководитель  ____________________________       тел. ________________</t>
  </si>
  <si>
    <t>Субабоненты , МВт</t>
  </si>
  <si>
    <t>Cторонние потребители, МВт</t>
  </si>
  <si>
    <t>Наименование, источник питания, договор ЭС</t>
  </si>
  <si>
    <t>Итого субабоненты,  МВт</t>
  </si>
  <si>
    <t>Наименование (потребитель/ТСО):</t>
  </si>
  <si>
    <t>Нагрузка линий,  МВт</t>
  </si>
  <si>
    <t>Наименование,класс напряжения трансформатора, линии 35-110 кВ</t>
  </si>
  <si>
    <t xml:space="preserve">Пропускная способность ЛЭП (при температуре +25оС) или номинальный ток обмоток трансформатора, А </t>
  </si>
  <si>
    <t>Положение РПН(ПБВ)</t>
  </si>
  <si>
    <t>I /А/</t>
  </si>
  <si>
    <t>U /кВ/</t>
  </si>
  <si>
    <t>P /кВт/</t>
  </si>
  <si>
    <t>Q /кВар/</t>
  </si>
  <si>
    <t>S, МВА</t>
  </si>
  <si>
    <t>tgф</t>
  </si>
  <si>
    <t>Примечание: заполнять при наличии подстанции 35-110 кВ на балансе потребителя</t>
  </si>
  <si>
    <t>Номер очереди</t>
  </si>
  <si>
    <t>Номер                      отключаемой линии</t>
  </si>
  <si>
    <t>3 ч.</t>
  </si>
  <si>
    <t>9 ч.</t>
  </si>
  <si>
    <t>18 ч.</t>
  </si>
  <si>
    <t>Наименование подстанции,             класс напряжения</t>
  </si>
  <si>
    <t xml:space="preserve">Наименование питающего центра энергосистемы,                         с которого выполняется отключение </t>
  </si>
  <si>
    <t>1 ч.</t>
  </si>
  <si>
    <t>2 ч.</t>
  </si>
  <si>
    <t>4 ч.</t>
  </si>
  <si>
    <t>5 ч.</t>
  </si>
  <si>
    <t>6 ч.</t>
  </si>
  <si>
    <t>7 ч.</t>
  </si>
  <si>
    <t>8 ч.</t>
  </si>
  <si>
    <t>10 ч.</t>
  </si>
  <si>
    <t>11 ч.</t>
  </si>
  <si>
    <t>12 ч.</t>
  </si>
  <si>
    <t>13 ч.</t>
  </si>
  <si>
    <t>14 ч.</t>
  </si>
  <si>
    <t>15 ч.</t>
  </si>
  <si>
    <t>16 ч.</t>
  </si>
  <si>
    <t>17 ч.</t>
  </si>
  <si>
    <t>19 ч.</t>
  </si>
  <si>
    <t>20 ч.</t>
  </si>
  <si>
    <t>21 ч.</t>
  </si>
  <si>
    <t>22 ч.</t>
  </si>
  <si>
    <t>23 ч.</t>
  </si>
  <si>
    <t>24 ч.</t>
  </si>
  <si>
    <t xml:space="preserve">№ договора (договор энергоснабжения/для ТСО договор оказания услуг)  : </t>
  </si>
  <si>
    <t>Наименование присоединения,                трансформатора или ЛЭП</t>
  </si>
  <si>
    <t>Время отключения  мин.</t>
  </si>
  <si>
    <t>Ведомость учета замеров нагрузки по точкам приема электрической энергии (мощности), МВт</t>
  </si>
  <si>
    <t xml:space="preserve">Таблица нагрузок линий, участвующих в графике временного отключения потребления, в расстановке АЧР и ЧАПВ </t>
  </si>
  <si>
    <t>Таблица нагрузок вводов потребительских подстанций  110-35 кВ</t>
  </si>
  <si>
    <t>Уставка срабатывания АЧР</t>
  </si>
  <si>
    <t>частота, Гц</t>
  </si>
  <si>
    <t>время, сек.</t>
  </si>
  <si>
    <t>Всего потребление электроэнергии           за контрольный замер, тыс.кВт ч</t>
  </si>
  <si>
    <t>Социально-значимые объекты</t>
  </si>
  <si>
    <t>N п/п</t>
  </si>
  <si>
    <t>Потребитель</t>
  </si>
  <si>
    <t>Номинальная мощность                                                   тр-ра, МВА</t>
  </si>
  <si>
    <t>9ч.</t>
  </si>
  <si>
    <t>18ч.</t>
  </si>
  <si>
    <t>Дата: 15.12.2021г</t>
  </si>
  <si>
    <t>Дата:15.12.2021г</t>
  </si>
  <si>
    <t>1. График временного отключения потребления электрической энергии на период 2021/2022гг</t>
  </si>
  <si>
    <t>График временного отключения потребления электрической энергии                               
на период 2021/2022гг</t>
  </si>
  <si>
    <t>2. Расстановка автоматов частотной разгрузки АЧР и ЧАПВ на период 2021/2022гг</t>
  </si>
  <si>
    <r>
      <t xml:space="preserve">Дата: </t>
    </r>
    <r>
      <rPr>
        <b/>
        <u val="single"/>
        <sz val="12"/>
        <rFont val="Times New Roman"/>
        <family val="1"/>
      </rPr>
      <t>15.12.2021г</t>
    </r>
  </si>
  <si>
    <t>Наименование (потребитель/ТСО): Общество с ограниченной ответственностью "Коммунальная сетевая компания"</t>
  </si>
  <si>
    <t>№ договора(договор энергоснабжения/для ТСО- договор оказания услуг): 619-юр от 06.04.2015</t>
  </si>
  <si>
    <t xml:space="preserve">Дата: 15.12.2021 </t>
  </si>
  <si>
    <t>ПС Спутник 
фид. № 617</t>
  </si>
  <si>
    <t>ПС Спутник 
фид. № 630</t>
  </si>
  <si>
    <t>ПС Спутник 
фид. № 614</t>
  </si>
  <si>
    <t>ПС Спутник 
фид. № 621</t>
  </si>
  <si>
    <t>ПС  Мещерская
фид. № 606</t>
  </si>
  <si>
    <t>ПС Мещерская 
фид. № 629</t>
  </si>
  <si>
    <t>ПС  Артемовская
фид. № 614</t>
  </si>
  <si>
    <t>РТП 30
фид. № 3014</t>
  </si>
  <si>
    <t>РТП 30
фид. № 3011</t>
  </si>
  <si>
    <t>ПС Старт
фид. № 1001</t>
  </si>
  <si>
    <t>ПС Старт
фид. № 1016</t>
  </si>
  <si>
    <t>ПС ЗКПД
фид. № 1025</t>
  </si>
  <si>
    <t>ПС ЗКПД
фид. № 1026</t>
  </si>
  <si>
    <t>ПС Афонинская (РП-91)
фид. № 91-1</t>
  </si>
  <si>
    <t>ПС Афонинская (РП-91)
фид. № 91-21</t>
  </si>
  <si>
    <t>Всего потребление электроэнергии           за контрольный замер, тыс.кВт.ч</t>
  </si>
  <si>
    <t>ПС Чайка
фид. № 1088</t>
  </si>
  <si>
    <t>ПС Чайка
фид. № 1086</t>
  </si>
  <si>
    <t>ЦРП-11
фид. № 2</t>
  </si>
  <si>
    <t>ЦРП-11
фид. № 29</t>
  </si>
  <si>
    <t>РП-9817
фид. № 1</t>
  </si>
  <si>
    <t>РП-9817
фид. № 35</t>
  </si>
  <si>
    <t>СН2</t>
  </si>
  <si>
    <t>ВН</t>
  </si>
  <si>
    <t>ООО "УК "Спектр", ПС Мещерская ДЭ № 189-18/Э от 25.06.2018 (ТЦ Бурнаковский)</t>
  </si>
  <si>
    <t>ООО "УК "ПОРТУЮТ-Н.Н.", ПС Мещерская ДЭ № 05/03-2020 от 16.01.2020</t>
  </si>
  <si>
    <t>ООО "УК "Спектр", ПС Спутник, ДЭ № 191-18/Э от 25.06.2018 (ТЦ Порт -Артур)</t>
  </si>
  <si>
    <t>ООО "УК "Спектр" ПС Афонинская, ДЭ № 187-18/Э от 25.06.2018 (ТЦ Ганза)</t>
  </si>
  <si>
    <t>ООО "УК "Спектр", ПС Спутник, ДЭ № 188-18/Э от 25.06.2018 (ТЦ Водный мир)</t>
  </si>
  <si>
    <t>ООО "УК "Спектр", ПС ЗКПД, ДЭ № 342-20/Э от 05.06.2020 (ТЦ Корабли)</t>
  </si>
  <si>
    <t>ООО "УК "Спектр", ПС Старт, ДЭ № 192-18/Э от 25.06.2018 (ТЦ Верхне-Печерский)</t>
  </si>
  <si>
    <t>ООО "УК "Спектр", ПС "Мещерская", ДЭ № 240-18/Э от 10.09.2018 (ТЦ "Бурнаковский-3")</t>
  </si>
  <si>
    <t>ООО "УК "Спектр", ПС Спутник, ДЭ № 190-18/Э от 25.06.2018 (ТЦ Крым)</t>
  </si>
  <si>
    <t xml:space="preserve"> Замер нагрузки в точках приёма электроэнергии  "КСК" из сетей ООО "НЭСК" за режимный день 15.12.2021г.</t>
  </si>
  <si>
    <t>Время</t>
  </si>
  <si>
    <t>ПС Чайка ф.86 /804180761</t>
  </si>
  <si>
    <t>ПС Чайка ф.88 /803183866</t>
  </si>
  <si>
    <t>РП 9817 КГШ ф. 1  /0813200138</t>
  </si>
  <si>
    <t>РП 9817 КГШ ф.35 /0813200339</t>
  </si>
  <si>
    <t>ЦРП 11 ф.2 /0807130835</t>
  </si>
  <si>
    <t>ЦРП 11 ф.29 /0812164297</t>
  </si>
  <si>
    <t>Суммарное</t>
  </si>
  <si>
    <t>P+, кВт</t>
  </si>
  <si>
    <t>Q+, кВар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</si>
  <si>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</si>
  <si>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</si>
  <si>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</si>
  <si>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</si>
  <si>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</si>
  <si>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</si>
  <si>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</si>
  <si>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</si>
  <si>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</si>
  <si>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</si>
  <si>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</si>
  <si>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</si>
  <si>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</si>
  <si>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</si>
  <si>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</si>
  <si>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</si>
  <si>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</si>
  <si>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</si>
  <si>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</si>
  <si>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</si>
  <si>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</si>
  <si>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</si>
  <si>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</si>
  <si>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</si>
  <si>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за сутки, кВт</t>
  </si>
  <si>
    <t>Главный инженер ООО "НЭСК"</t>
  </si>
  <si>
    <t xml:space="preserve">                                                                       А.В. Лунёв</t>
  </si>
  <si>
    <t>ООО "УК "Спектр" (ТЦ Крым)</t>
  </si>
  <si>
    <t>РП-59, ф.10, 13</t>
  </si>
  <si>
    <r>
      <t xml:space="preserve">по напряжению 
</t>
    </r>
    <r>
      <rPr>
        <b/>
        <sz val="12"/>
        <color indexed="8"/>
        <rFont val="Times New Roman"/>
        <family val="1"/>
      </rPr>
      <t>ВН</t>
    </r>
  </si>
  <si>
    <r>
      <t xml:space="preserve">по напряжению 
</t>
    </r>
    <r>
      <rPr>
        <b/>
        <sz val="12"/>
        <color indexed="8"/>
        <rFont val="Times New Roman"/>
        <family val="1"/>
      </rPr>
      <t>СН1</t>
    </r>
  </si>
  <si>
    <r>
      <t xml:space="preserve">по напряжению 
</t>
    </r>
    <r>
      <rPr>
        <b/>
        <sz val="12"/>
        <color indexed="8"/>
        <rFont val="Times New Roman"/>
        <family val="1"/>
      </rPr>
      <t>СН2</t>
    </r>
  </si>
  <si>
    <t>Примечание о нехарактерности нагрузок в режимный день: мощность по стронним потребителям предоставлена не в полном объеме в виду отвутствия информации</t>
  </si>
  <si>
    <t>(22+23+24)</t>
  </si>
  <si>
    <r>
      <t xml:space="preserve">Всего по договору без сторонних потребителей                                  </t>
    </r>
    <r>
      <rPr>
        <sz val="12"/>
        <color indexed="8"/>
        <rFont val="Times New Roman"/>
        <family val="1"/>
      </rPr>
      <t xml:space="preserve"> (25-26)</t>
    </r>
  </si>
  <si>
    <t>Технический руководитель_____________/В.В.Щуплов   тел. 262-13-20</t>
  </si>
  <si>
    <t>Технический руководитель_______________/В.В.Щуплов                тел. 262-13-20</t>
  </si>
  <si>
    <t>Технический руководитель  ________________/В.В.Щуплов       тел.  262-13-20</t>
  </si>
  <si>
    <t>Технический руководитель___________/В.В.Щуплов    тел. 262-13-20</t>
  </si>
  <si>
    <t xml:space="preserve">Наименование (потребитель/ТСО):  Общество с ограниченной ответственностью "Коммунальная сетевая компания"                                                                                                                                          </t>
  </si>
  <si>
    <t>№ договора(договор энергоснабжения/ для ТСО договор оказания услуг):  619-юр от 06.04.2015</t>
  </si>
  <si>
    <t xml:space="preserve">Наименование (потребитель/ТСО): Общество с ограниченной ответственностью "Коммунальная сетевая компания"                                                                                                                                                </t>
  </si>
  <si>
    <r>
      <t>№ договора</t>
    </r>
    <r>
      <rPr>
        <b/>
        <sz val="12"/>
        <rFont val="Times New Roman"/>
        <family val="1"/>
      </rPr>
      <t>(договор энергоснабжения/ для ТСО- договор оказания услуг)  : 619-юр от 06.04.2015</t>
    </r>
  </si>
  <si>
    <t xml:space="preserve">Наименование (потребитель/ТСО):  Общество с ограниченной ответственностью "Коммунальная сетевая компания"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</si>
</sst>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0.000"/>
    <numFmt numFmtId="178" formatCode="0.0"/>
    <numFmt numFmtId="179" formatCode="000000"/>
    <numFmt numFmtId="180" formatCode="0.0000"/>
    <numFmt numFmtId="181" formatCode="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178" fontId="20" fillId="0" borderId="14" xfId="0" applyNumberFormat="1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3" fillId="0" borderId="0" xfId="0" applyNumberFormat="1" applyFont="1" applyFill="1" applyAlignment="1">
      <alignment horizontal="left" vertical="top"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/>
    </xf>
    <xf numFmtId="0" fontId="68" fillId="0" borderId="0" xfId="0" applyFont="1" applyFill="1" applyAlignment="1">
      <alignment/>
    </xf>
    <xf numFmtId="0" fontId="1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78" fontId="20" fillId="0" borderId="25" xfId="0" applyNumberFormat="1" applyFont="1" applyFill="1" applyBorder="1" applyAlignment="1">
      <alignment horizontal="center" vertical="center" wrapText="1"/>
    </xf>
    <xf numFmtId="178" fontId="20" fillId="0" borderId="23" xfId="0" applyNumberFormat="1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center" vertical="center"/>
    </xf>
    <xf numFmtId="178" fontId="20" fillId="0" borderId="25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178" fontId="20" fillId="0" borderId="12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/>
    </xf>
    <xf numFmtId="178" fontId="20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2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7" fillId="0" borderId="36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/>
    </xf>
    <xf numFmtId="0" fontId="71" fillId="0" borderId="42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7" fillId="0" borderId="36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44" xfId="0" applyFont="1" applyBorder="1" applyAlignment="1">
      <alignment/>
    </xf>
    <xf numFmtId="0" fontId="17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justify"/>
    </xf>
    <xf numFmtId="0" fontId="71" fillId="0" borderId="45" xfId="0" applyFont="1" applyBorder="1" applyAlignment="1">
      <alignment horizontal="center" vertical="justify"/>
    </xf>
    <xf numFmtId="2" fontId="9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7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0" fillId="0" borderId="47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wrapText="1"/>
    </xf>
    <xf numFmtId="0" fontId="71" fillId="0" borderId="42" xfId="0" applyFont="1" applyFill="1" applyBorder="1" applyAlignment="1">
      <alignment wrapText="1"/>
    </xf>
    <xf numFmtId="0" fontId="71" fillId="0" borderId="42" xfId="0" applyFont="1" applyFill="1" applyBorder="1" applyAlignment="1">
      <alignment/>
    </xf>
    <xf numFmtId="0" fontId="71" fillId="0" borderId="43" xfId="0" applyFont="1" applyFill="1" applyBorder="1" applyAlignment="1">
      <alignment/>
    </xf>
    <xf numFmtId="2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top" wrapText="1"/>
    </xf>
    <xf numFmtId="2" fontId="70" fillId="33" borderId="10" xfId="0" applyNumberFormat="1" applyFont="1" applyFill="1" applyBorder="1" applyAlignment="1">
      <alignment vertical="top" wrapText="1"/>
    </xf>
    <xf numFmtId="0" fontId="70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2" fontId="71" fillId="0" borderId="44" xfId="0" applyNumberFormat="1" applyFont="1" applyBorder="1" applyAlignment="1">
      <alignment/>
    </xf>
    <xf numFmtId="0" fontId="73" fillId="33" borderId="10" xfId="0" applyFont="1" applyFill="1" applyBorder="1" applyAlignment="1">
      <alignment/>
    </xf>
    <xf numFmtId="2" fontId="73" fillId="33" borderId="10" xfId="0" applyNumberFormat="1" applyFont="1" applyFill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71" fillId="33" borderId="10" xfId="0" applyFont="1" applyFill="1" applyBorder="1" applyAlignment="1">
      <alignment horizontal="center" textRotation="90" wrapText="1"/>
    </xf>
    <xf numFmtId="0" fontId="71" fillId="33" borderId="10" xfId="0" applyFont="1" applyFill="1" applyBorder="1" applyAlignment="1">
      <alignment horizontal="center" vertical="center" textRotation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58" xfId="0" applyFont="1" applyFill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59" xfId="0" applyBorder="1" applyAlignment="1">
      <alignment/>
    </xf>
    <xf numFmtId="0" fontId="19" fillId="0" borderId="31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7" fillId="0" borderId="6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44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5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0" borderId="6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left" vertical="center"/>
    </xf>
    <xf numFmtId="0" fontId="49" fillId="0" borderId="55" xfId="0" applyFont="1" applyBorder="1" applyAlignment="1">
      <alignment/>
    </xf>
    <xf numFmtId="0" fontId="9" fillId="0" borderId="36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59" fillId="0" borderId="44" xfId="0" applyFont="1" applyBorder="1" applyAlignment="1">
      <alignment horizontal="left" vertical="top" wrapText="1"/>
    </xf>
    <xf numFmtId="0" fontId="9" fillId="0" borderId="72" xfId="0" applyFont="1" applyBorder="1" applyAlignment="1">
      <alignment horizontal="left" vertical="top" wrapText="1"/>
    </xf>
    <xf numFmtId="0" fontId="75" fillId="0" borderId="73" xfId="0" applyFont="1" applyBorder="1" applyAlignment="1">
      <alignment horizontal="left" vertical="top" wrapText="1"/>
    </xf>
    <xf numFmtId="0" fontId="75" fillId="0" borderId="7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justify"/>
    </xf>
    <xf numFmtId="0" fontId="71" fillId="0" borderId="45" xfId="0" applyFont="1" applyBorder="1" applyAlignment="1">
      <alignment horizontal="center" vertical="justify"/>
    </xf>
    <xf numFmtId="0" fontId="9" fillId="0" borderId="76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77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7" fillId="33" borderId="41" xfId="0" applyFont="1" applyFill="1" applyBorder="1" applyAlignment="1">
      <alignment horizontal="center" vertical="center" wrapText="1"/>
    </xf>
    <xf numFmtId="0" fontId="70" fillId="33" borderId="41" xfId="0" applyFont="1" applyFill="1" applyBorder="1" applyAlignment="1">
      <alignment horizontal="center" vertical="center" wrapText="1"/>
    </xf>
    <xf numFmtId="0" fontId="19" fillId="33" borderId="54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vertical="top"/>
    </xf>
    <xf numFmtId="0" fontId="71" fillId="0" borderId="44" xfId="0" applyFont="1" applyBorder="1" applyAlignment="1">
      <alignment vertical="top"/>
    </xf>
    <xf numFmtId="0" fontId="9" fillId="0" borderId="25" xfId="0" applyFont="1" applyBorder="1" applyAlignment="1">
      <alignment horizontal="center" vertical="top" wrapText="1"/>
    </xf>
    <xf numFmtId="0" fontId="71" fillId="33" borderId="23" xfId="0" applyFont="1" applyFill="1" applyBorder="1" applyAlignment="1">
      <alignment horizontal="center" textRotation="90" wrapText="1"/>
    </xf>
    <xf numFmtId="0" fontId="71" fillId="33" borderId="23" xfId="0" applyFont="1" applyFill="1" applyBorder="1" applyAlignment="1">
      <alignment horizontal="center" vertical="center" textRotation="1"/>
    </xf>
    <xf numFmtId="0" fontId="9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vertical="top" wrapText="1"/>
    </xf>
    <xf numFmtId="2" fontId="7" fillId="0" borderId="14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1" fillId="0" borderId="55" xfId="0" applyFont="1" applyBorder="1" applyAlignment="1">
      <alignment/>
    </xf>
    <xf numFmtId="0" fontId="71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justify"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Fill="1" applyAlignment="1">
      <alignment wrapText="1"/>
    </xf>
    <xf numFmtId="0" fontId="23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22</xdr:row>
      <xdr:rowOff>0</xdr:rowOff>
    </xdr:from>
    <xdr:to>
      <xdr:col>18</xdr:col>
      <xdr:colOff>295275</xdr:colOff>
      <xdr:row>22</xdr:row>
      <xdr:rowOff>0</xdr:rowOff>
    </xdr:to>
    <xdr:sp>
      <xdr:nvSpPr>
        <xdr:cNvPr id="1" name="WordArt 1"/>
        <xdr:cNvSpPr>
          <a:spLocks/>
        </xdr:cNvSpPr>
      </xdr:nvSpPr>
      <xdr:spPr>
        <a:xfrm>
          <a:off x="9696450" y="10125075"/>
          <a:ext cx="2209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75" zoomScaleNormal="75" zoomScaleSheetLayoutView="100" zoomScalePageLayoutView="0" workbookViewId="0" topLeftCell="A1">
      <selection activeCell="R27" sqref="R27"/>
    </sheetView>
  </sheetViews>
  <sheetFormatPr defaultColWidth="9.140625" defaultRowHeight="15"/>
  <cols>
    <col min="1" max="1" width="15.8515625" style="0" customWidth="1"/>
    <col min="2" max="2" width="14.00390625" style="0" customWidth="1"/>
    <col min="3" max="3" width="13.57421875" style="0" customWidth="1"/>
    <col min="4" max="4" width="17.28125" style="0" customWidth="1"/>
    <col min="5" max="5" width="11.140625" style="0" customWidth="1"/>
    <col min="6" max="6" width="15.140625" style="0" customWidth="1"/>
  </cols>
  <sheetData>
    <row r="1" spans="1:21" s="9" customFormat="1" ht="22.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25"/>
      <c r="L1" s="8"/>
      <c r="M1" s="8"/>
      <c r="N1" s="26"/>
      <c r="O1" s="8"/>
      <c r="P1" s="8"/>
      <c r="Q1" s="8"/>
      <c r="U1" s="54" t="s">
        <v>111</v>
      </c>
    </row>
    <row r="2" spans="1:17" s="9" customFormat="1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8"/>
      <c r="M2" s="8"/>
      <c r="N2" s="27"/>
      <c r="O2" s="12"/>
      <c r="P2" s="8"/>
      <c r="Q2" s="8"/>
    </row>
    <row r="3" spans="1:17" s="77" customFormat="1" ht="18.75" customHeight="1">
      <c r="A3" s="71" t="s">
        <v>55</v>
      </c>
      <c r="B3" s="72"/>
      <c r="C3" s="73"/>
      <c r="D3" s="74"/>
      <c r="E3" s="75"/>
      <c r="F3" s="75"/>
      <c r="G3" s="75"/>
      <c r="H3" s="75"/>
      <c r="I3" s="76" t="s">
        <v>95</v>
      </c>
      <c r="J3" s="75"/>
      <c r="K3" s="75"/>
      <c r="L3" s="75"/>
      <c r="M3" s="75"/>
      <c r="N3" s="75"/>
      <c r="O3" s="75"/>
      <c r="P3" s="75"/>
      <c r="Q3" s="71"/>
    </row>
    <row r="4" spans="1:17" s="9" customFormat="1" ht="18.75" customHeight="1">
      <c r="A4" s="13"/>
      <c r="B4" s="13"/>
      <c r="C4" s="28"/>
      <c r="D4" s="28"/>
      <c r="E4" s="28"/>
      <c r="F4" s="25"/>
      <c r="G4" s="25"/>
      <c r="H4" s="25"/>
      <c r="I4" s="25"/>
      <c r="J4" s="28"/>
      <c r="K4" s="28"/>
      <c r="L4" s="28"/>
      <c r="M4" s="13"/>
      <c r="N4" s="13"/>
      <c r="O4" s="8"/>
      <c r="P4" s="8"/>
      <c r="Q4" s="8"/>
    </row>
    <row r="5" spans="1:23" s="18" customFormat="1" ht="9" customHeight="1" thickBot="1">
      <c r="A5" s="29"/>
      <c r="B5" s="29"/>
      <c r="C5" s="30"/>
      <c r="D5" s="30"/>
      <c r="E5" s="30"/>
      <c r="F5" s="31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4" s="18" customFormat="1" ht="51.75" customHeight="1">
      <c r="A6" s="194" t="s">
        <v>72</v>
      </c>
      <c r="B6" s="194" t="s">
        <v>57</v>
      </c>
      <c r="C6" s="194" t="s">
        <v>108</v>
      </c>
      <c r="D6" s="194" t="s">
        <v>58</v>
      </c>
      <c r="E6" s="194" t="s">
        <v>59</v>
      </c>
      <c r="F6" s="194" t="s">
        <v>96</v>
      </c>
      <c r="G6" s="202" t="s">
        <v>69</v>
      </c>
      <c r="H6" s="203"/>
      <c r="I6" s="203"/>
      <c r="J6" s="203"/>
      <c r="K6" s="203"/>
      <c r="L6" s="204"/>
      <c r="M6" s="202" t="s">
        <v>109</v>
      </c>
      <c r="N6" s="203"/>
      <c r="O6" s="203"/>
      <c r="P6" s="203"/>
      <c r="Q6" s="203"/>
      <c r="R6" s="204"/>
      <c r="S6" s="202" t="s">
        <v>110</v>
      </c>
      <c r="T6" s="203"/>
      <c r="U6" s="203"/>
      <c r="V6" s="203"/>
      <c r="W6" s="203"/>
      <c r="X6" s="204"/>
    </row>
    <row r="7" spans="1:24" s="18" customFormat="1" ht="69.75" customHeight="1" thickBot="1">
      <c r="A7" s="195"/>
      <c r="B7" s="195"/>
      <c r="C7" s="195"/>
      <c r="D7" s="195"/>
      <c r="E7" s="195"/>
      <c r="F7" s="195"/>
      <c r="G7" s="118" t="s">
        <v>60</v>
      </c>
      <c r="H7" s="119" t="s">
        <v>61</v>
      </c>
      <c r="I7" s="119" t="s">
        <v>62</v>
      </c>
      <c r="J7" s="119" t="s">
        <v>63</v>
      </c>
      <c r="K7" s="119" t="s">
        <v>64</v>
      </c>
      <c r="L7" s="120" t="s">
        <v>65</v>
      </c>
      <c r="M7" s="118" t="s">
        <v>60</v>
      </c>
      <c r="N7" s="119" t="s">
        <v>61</v>
      </c>
      <c r="O7" s="119" t="s">
        <v>62</v>
      </c>
      <c r="P7" s="119" t="s">
        <v>63</v>
      </c>
      <c r="Q7" s="119" t="s">
        <v>64</v>
      </c>
      <c r="R7" s="120" t="s">
        <v>65</v>
      </c>
      <c r="S7" s="118" t="s">
        <v>60</v>
      </c>
      <c r="T7" s="119" t="s">
        <v>61</v>
      </c>
      <c r="U7" s="119" t="s">
        <v>62</v>
      </c>
      <c r="V7" s="119" t="s">
        <v>63</v>
      </c>
      <c r="W7" s="119" t="s">
        <v>64</v>
      </c>
      <c r="X7" s="120" t="s">
        <v>65</v>
      </c>
    </row>
    <row r="8" spans="1:24" s="121" customFormat="1" ht="16.5" customHeight="1" thickBot="1">
      <c r="A8" s="78">
        <v>1</v>
      </c>
      <c r="B8" s="79">
        <v>2</v>
      </c>
      <c r="C8" s="79">
        <v>3</v>
      </c>
      <c r="D8" s="79">
        <v>4</v>
      </c>
      <c r="E8" s="79">
        <v>5</v>
      </c>
      <c r="F8" s="130">
        <v>6</v>
      </c>
      <c r="G8" s="80">
        <v>7</v>
      </c>
      <c r="H8" s="79">
        <v>8</v>
      </c>
      <c r="I8" s="79">
        <v>9</v>
      </c>
      <c r="J8" s="79">
        <v>10</v>
      </c>
      <c r="K8" s="79">
        <v>11</v>
      </c>
      <c r="L8" s="130">
        <v>12</v>
      </c>
      <c r="M8" s="80">
        <v>13</v>
      </c>
      <c r="N8" s="79">
        <v>14</v>
      </c>
      <c r="O8" s="79">
        <v>15</v>
      </c>
      <c r="P8" s="79">
        <v>16</v>
      </c>
      <c r="Q8" s="79">
        <v>17</v>
      </c>
      <c r="R8" s="130">
        <v>18</v>
      </c>
      <c r="S8" s="80">
        <v>19</v>
      </c>
      <c r="T8" s="79">
        <v>20</v>
      </c>
      <c r="U8" s="79">
        <v>21</v>
      </c>
      <c r="V8" s="79">
        <v>22</v>
      </c>
      <c r="W8" s="79">
        <v>23</v>
      </c>
      <c r="X8" s="130">
        <v>24</v>
      </c>
    </row>
    <row r="9" spans="1:24" s="18" customFormat="1" ht="24.75" customHeight="1">
      <c r="A9" s="196"/>
      <c r="B9" s="199"/>
      <c r="C9" s="199"/>
      <c r="D9" s="81"/>
      <c r="E9" s="205"/>
      <c r="F9" s="82"/>
      <c r="G9" s="83"/>
      <c r="H9" s="84"/>
      <c r="I9" s="84"/>
      <c r="J9" s="84"/>
      <c r="K9" s="84"/>
      <c r="L9" s="85"/>
      <c r="M9" s="86"/>
      <c r="N9" s="84"/>
      <c r="O9" s="84"/>
      <c r="P9" s="84"/>
      <c r="Q9" s="84"/>
      <c r="R9" s="85"/>
      <c r="S9" s="86"/>
      <c r="T9" s="84"/>
      <c r="U9" s="84"/>
      <c r="V9" s="84"/>
      <c r="W9" s="84"/>
      <c r="X9" s="85"/>
    </row>
    <row r="10" spans="1:24" s="18" customFormat="1" ht="27" customHeight="1">
      <c r="A10" s="197"/>
      <c r="B10" s="200"/>
      <c r="C10" s="200"/>
      <c r="D10" s="34"/>
      <c r="E10" s="206"/>
      <c r="F10" s="35"/>
      <c r="G10" s="38"/>
      <c r="H10" s="36"/>
      <c r="I10" s="36"/>
      <c r="J10" s="36"/>
      <c r="K10" s="36"/>
      <c r="L10" s="37"/>
      <c r="M10" s="38"/>
      <c r="N10" s="36"/>
      <c r="O10" s="36"/>
      <c r="P10" s="36"/>
      <c r="Q10" s="36"/>
      <c r="R10" s="37"/>
      <c r="S10" s="38"/>
      <c r="T10" s="36"/>
      <c r="U10" s="36"/>
      <c r="V10" s="36"/>
      <c r="W10" s="36"/>
      <c r="X10" s="37"/>
    </row>
    <row r="11" spans="1:24" s="18" customFormat="1" ht="21.75" customHeight="1">
      <c r="A11" s="197"/>
      <c r="B11" s="201"/>
      <c r="C11" s="201"/>
      <c r="D11" s="34"/>
      <c r="E11" s="206"/>
      <c r="F11" s="35"/>
      <c r="G11" s="38"/>
      <c r="H11" s="36"/>
      <c r="I11" s="36"/>
      <c r="J11" s="36"/>
      <c r="K11" s="36"/>
      <c r="L11" s="37"/>
      <c r="M11" s="38"/>
      <c r="N11" s="36"/>
      <c r="O11" s="36"/>
      <c r="P11" s="36"/>
      <c r="Q11" s="36"/>
      <c r="R11" s="37"/>
      <c r="S11" s="38"/>
      <c r="T11" s="36"/>
      <c r="U11" s="36"/>
      <c r="V11" s="36"/>
      <c r="W11" s="36"/>
      <c r="X11" s="37"/>
    </row>
    <row r="12" spans="1:24" s="18" customFormat="1" ht="24" customHeight="1">
      <c r="A12" s="197"/>
      <c r="B12" s="207"/>
      <c r="C12" s="207"/>
      <c r="D12" s="34"/>
      <c r="E12" s="206"/>
      <c r="F12" s="35"/>
      <c r="G12" s="38"/>
      <c r="H12" s="36"/>
      <c r="I12" s="36"/>
      <c r="J12" s="36"/>
      <c r="K12" s="36"/>
      <c r="L12" s="37"/>
      <c r="M12" s="38"/>
      <c r="N12" s="36"/>
      <c r="O12" s="36"/>
      <c r="P12" s="36"/>
      <c r="Q12" s="36"/>
      <c r="R12" s="37"/>
      <c r="S12" s="38"/>
      <c r="T12" s="36"/>
      <c r="U12" s="36"/>
      <c r="V12" s="36"/>
      <c r="W12" s="36"/>
      <c r="X12" s="37"/>
    </row>
    <row r="13" spans="1:24" s="18" customFormat="1" ht="24.75" customHeight="1">
      <c r="A13" s="197"/>
      <c r="B13" s="200"/>
      <c r="C13" s="200"/>
      <c r="D13" s="34"/>
      <c r="E13" s="206"/>
      <c r="F13" s="35"/>
      <c r="G13" s="38"/>
      <c r="H13" s="36"/>
      <c r="I13" s="36"/>
      <c r="J13" s="36"/>
      <c r="K13" s="36"/>
      <c r="L13" s="37"/>
      <c r="M13" s="38"/>
      <c r="N13" s="36"/>
      <c r="O13" s="36"/>
      <c r="P13" s="36"/>
      <c r="Q13" s="36"/>
      <c r="R13" s="37"/>
      <c r="S13" s="38"/>
      <c r="T13" s="36"/>
      <c r="U13" s="36"/>
      <c r="V13" s="36"/>
      <c r="W13" s="36"/>
      <c r="X13" s="37"/>
    </row>
    <row r="14" spans="1:24" s="18" customFormat="1" ht="24.75" customHeight="1" thickBot="1">
      <c r="A14" s="198"/>
      <c r="B14" s="208"/>
      <c r="C14" s="208"/>
      <c r="D14" s="87"/>
      <c r="E14" s="209"/>
      <c r="F14" s="88"/>
      <c r="G14" s="89"/>
      <c r="H14" s="90"/>
      <c r="I14" s="90"/>
      <c r="J14" s="90"/>
      <c r="K14" s="90"/>
      <c r="L14" s="91"/>
      <c r="M14" s="89"/>
      <c r="N14" s="90"/>
      <c r="O14" s="90"/>
      <c r="P14" s="90"/>
      <c r="Q14" s="90"/>
      <c r="R14" s="91"/>
      <c r="S14" s="89"/>
      <c r="T14" s="90"/>
      <c r="U14" s="90"/>
      <c r="V14" s="90"/>
      <c r="W14" s="90"/>
      <c r="X14" s="91"/>
    </row>
    <row r="15" spans="1:23" s="8" customFormat="1" ht="50.25" customHeight="1">
      <c r="A15" s="39"/>
      <c r="B15" s="122" t="s">
        <v>66</v>
      </c>
      <c r="C15" s="41"/>
      <c r="D15" s="42"/>
      <c r="E15" s="43"/>
      <c r="F15" s="44"/>
      <c r="G15" s="44"/>
      <c r="H15" s="45"/>
      <c r="I15" s="45"/>
      <c r="J15" s="46"/>
      <c r="K15" s="47"/>
      <c r="L15" s="44"/>
      <c r="M15" s="44"/>
      <c r="N15" s="45"/>
      <c r="O15" s="45"/>
      <c r="P15" s="46"/>
      <c r="Q15" s="47"/>
      <c r="R15" s="44"/>
      <c r="S15" s="44"/>
      <c r="T15" s="45"/>
      <c r="U15" s="45"/>
      <c r="V15" s="46"/>
      <c r="W15" s="47"/>
    </row>
    <row r="16" spans="1:23" s="8" customFormat="1" ht="26.25" customHeight="1">
      <c r="A16" s="39"/>
      <c r="B16" s="40"/>
      <c r="C16" s="41"/>
      <c r="D16" s="42"/>
      <c r="E16" s="43"/>
      <c r="F16" s="44"/>
      <c r="G16" s="44"/>
      <c r="H16" s="45"/>
      <c r="I16" s="45"/>
      <c r="J16" s="46"/>
      <c r="K16" s="47"/>
      <c r="L16" s="44"/>
      <c r="M16" s="44"/>
      <c r="N16" s="45"/>
      <c r="O16" s="45"/>
      <c r="P16" s="46"/>
      <c r="Q16" s="47"/>
      <c r="R16" s="44"/>
      <c r="S16" s="44"/>
      <c r="T16" s="45"/>
      <c r="U16" s="45"/>
      <c r="V16" s="46"/>
      <c r="W16" s="47"/>
    </row>
    <row r="17" spans="1:23" s="21" customFormat="1" ht="77.25" customHeight="1">
      <c r="A17" s="19"/>
      <c r="B17" s="20"/>
      <c r="C17" s="68" t="s">
        <v>50</v>
      </c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</sheetData>
  <sheetProtection/>
  <mergeCells count="16">
    <mergeCell ref="F6:F7"/>
    <mergeCell ref="G6:L6"/>
    <mergeCell ref="M6:R6"/>
    <mergeCell ref="S6:X6"/>
    <mergeCell ref="E9:E11"/>
    <mergeCell ref="B12:B14"/>
    <mergeCell ref="C12:C14"/>
    <mergeCell ref="E12:E14"/>
    <mergeCell ref="D6:D7"/>
    <mergeCell ref="E6:E7"/>
    <mergeCell ref="B6:B7"/>
    <mergeCell ref="C6:C7"/>
    <mergeCell ref="A6:A7"/>
    <mergeCell ref="A9:A14"/>
    <mergeCell ref="B9:B11"/>
    <mergeCell ref="C9:C11"/>
  </mergeCells>
  <printOptions/>
  <pageMargins left="0.23" right="0.39" top="0.54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SheetLayoutView="90" zoomScalePageLayoutView="0" workbookViewId="0" topLeftCell="D15">
      <selection activeCell="M41" sqref="M41"/>
    </sheetView>
  </sheetViews>
  <sheetFormatPr defaultColWidth="9.140625" defaultRowHeight="15"/>
  <cols>
    <col min="1" max="1" width="17.57421875" style="0" customWidth="1"/>
    <col min="2" max="2" width="9.7109375" style="0" customWidth="1"/>
    <col min="3" max="7" width="9.57421875" style="0" customWidth="1"/>
    <col min="8" max="22" width="9.28125" style="0" customWidth="1"/>
    <col min="23" max="23" width="10.421875" style="0" customWidth="1"/>
    <col min="24" max="25" width="9.28125" style="0" customWidth="1"/>
    <col min="26" max="27" width="12.57421875" style="0" customWidth="1"/>
    <col min="28" max="28" width="13.421875" style="0" customWidth="1"/>
    <col min="29" max="29" width="10.28125" style="0" customWidth="1"/>
    <col min="30" max="31" width="9.140625" style="0" customWidth="1"/>
  </cols>
  <sheetData>
    <row r="1" spans="1:28" ht="15.75">
      <c r="A1" s="210" t="s">
        <v>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2"/>
    </row>
    <row r="2" spans="1:28" ht="35.25" customHeight="1" thickBot="1">
      <c r="A2" s="308" t="s">
        <v>119</v>
      </c>
      <c r="B2" s="309"/>
      <c r="C2" s="310" t="s">
        <v>117</v>
      </c>
      <c r="D2" s="310"/>
      <c r="E2" s="311"/>
      <c r="F2" s="311"/>
      <c r="G2" s="311"/>
      <c r="H2" s="311"/>
      <c r="I2" s="311"/>
      <c r="J2" s="311"/>
      <c r="K2" s="312"/>
      <c r="L2" s="310" t="s">
        <v>118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3"/>
      <c r="X2" s="313"/>
      <c r="Y2" s="313"/>
      <c r="Z2" s="313"/>
      <c r="AA2" s="313"/>
      <c r="AB2" s="314"/>
    </row>
    <row r="3" spans="1:28" ht="15" customHeight="1">
      <c r="A3" s="315" t="s">
        <v>0</v>
      </c>
      <c r="B3" s="316" t="s">
        <v>120</v>
      </c>
      <c r="C3" s="316" t="s">
        <v>121</v>
      </c>
      <c r="D3" s="316" t="s">
        <v>122</v>
      </c>
      <c r="E3" s="316" t="s">
        <v>123</v>
      </c>
      <c r="F3" s="316" t="s">
        <v>124</v>
      </c>
      <c r="G3" s="316" t="s">
        <v>125</v>
      </c>
      <c r="H3" s="316" t="s">
        <v>126</v>
      </c>
      <c r="I3" s="316" t="s">
        <v>127</v>
      </c>
      <c r="J3" s="316" t="s">
        <v>128</v>
      </c>
      <c r="K3" s="316" t="s">
        <v>129</v>
      </c>
      <c r="L3" s="316" t="s">
        <v>130</v>
      </c>
      <c r="M3" s="316" t="s">
        <v>131</v>
      </c>
      <c r="N3" s="316" t="s">
        <v>132</v>
      </c>
      <c r="O3" s="316" t="s">
        <v>133</v>
      </c>
      <c r="P3" s="316" t="s">
        <v>134</v>
      </c>
      <c r="Q3" s="316" t="s">
        <v>136</v>
      </c>
      <c r="R3" s="316" t="s">
        <v>137</v>
      </c>
      <c r="S3" s="316" t="s">
        <v>138</v>
      </c>
      <c r="T3" s="316" t="s">
        <v>139</v>
      </c>
      <c r="U3" s="316" t="s">
        <v>140</v>
      </c>
      <c r="V3" s="316" t="s">
        <v>141</v>
      </c>
      <c r="W3" s="317" t="s">
        <v>3</v>
      </c>
      <c r="X3" s="317"/>
      <c r="Y3" s="317"/>
      <c r="Z3" s="318" t="s">
        <v>16</v>
      </c>
      <c r="AA3" s="319" t="s">
        <v>48</v>
      </c>
      <c r="AB3" s="320" t="s">
        <v>198</v>
      </c>
    </row>
    <row r="4" spans="1:28" ht="18.75" customHeight="1">
      <c r="A4" s="321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215"/>
      <c r="Y4" s="215"/>
      <c r="Z4" s="213"/>
      <c r="AA4" s="216"/>
      <c r="AB4" s="322"/>
    </row>
    <row r="5" spans="1:28" ht="21.75" customHeight="1">
      <c r="A5" s="321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 t="s">
        <v>193</v>
      </c>
      <c r="X5" s="214" t="s">
        <v>194</v>
      </c>
      <c r="Y5" s="214" t="s">
        <v>195</v>
      </c>
      <c r="Z5" s="213"/>
      <c r="AA5" s="216"/>
      <c r="AB5" s="322"/>
    </row>
    <row r="6" spans="1:28" ht="15.75">
      <c r="A6" s="321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4" t="s">
        <v>1</v>
      </c>
      <c r="AA6" s="217"/>
      <c r="AB6" s="323"/>
    </row>
    <row r="7" spans="1:33" ht="15.75">
      <c r="A7" s="321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4" t="s">
        <v>2</v>
      </c>
      <c r="AA7" s="217"/>
      <c r="AB7" s="323"/>
      <c r="AD7" s="149">
        <v>1000</v>
      </c>
      <c r="AE7" s="149"/>
      <c r="AF7" s="149"/>
      <c r="AG7" s="149"/>
    </row>
    <row r="8" spans="1:33" ht="15">
      <c r="A8" s="321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8" t="s">
        <v>197</v>
      </c>
      <c r="AA8" s="217"/>
      <c r="AB8" s="323"/>
      <c r="AD8" s="149"/>
      <c r="AE8" s="149"/>
      <c r="AF8" s="149"/>
      <c r="AG8" s="149"/>
    </row>
    <row r="9" spans="1:33" ht="23.25" customHeight="1">
      <c r="A9" s="321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9"/>
      <c r="AA9" s="217"/>
      <c r="AB9" s="323"/>
      <c r="AD9" s="149"/>
      <c r="AE9" s="149"/>
      <c r="AF9" s="149"/>
      <c r="AG9" s="149"/>
    </row>
    <row r="10" spans="1:33" ht="15.75">
      <c r="A10" s="324"/>
      <c r="B10" s="181">
        <v>1</v>
      </c>
      <c r="C10" s="181">
        <v>2</v>
      </c>
      <c r="D10" s="181">
        <v>3</v>
      </c>
      <c r="E10" s="181">
        <v>4</v>
      </c>
      <c r="F10" s="181">
        <v>5</v>
      </c>
      <c r="G10" s="181">
        <v>6</v>
      </c>
      <c r="H10" s="181">
        <v>7</v>
      </c>
      <c r="I10" s="181">
        <v>8</v>
      </c>
      <c r="J10" s="181">
        <v>9</v>
      </c>
      <c r="K10" s="181">
        <v>10</v>
      </c>
      <c r="L10" s="181">
        <v>11</v>
      </c>
      <c r="M10" s="181">
        <v>12</v>
      </c>
      <c r="N10" s="181">
        <v>13</v>
      </c>
      <c r="O10" s="181">
        <v>14</v>
      </c>
      <c r="P10" s="181">
        <v>15</v>
      </c>
      <c r="Q10" s="181">
        <v>16</v>
      </c>
      <c r="R10" s="181">
        <v>17</v>
      </c>
      <c r="S10" s="181">
        <v>18</v>
      </c>
      <c r="T10" s="181">
        <v>19</v>
      </c>
      <c r="U10" s="181">
        <v>20</v>
      </c>
      <c r="V10" s="181">
        <v>21</v>
      </c>
      <c r="W10" s="181">
        <v>22</v>
      </c>
      <c r="X10" s="181">
        <v>23</v>
      </c>
      <c r="Y10" s="181">
        <v>24</v>
      </c>
      <c r="Z10" s="138">
        <v>25</v>
      </c>
      <c r="AA10" s="138">
        <v>26</v>
      </c>
      <c r="AB10" s="325">
        <v>27</v>
      </c>
      <c r="AD10" s="149"/>
      <c r="AE10" s="149"/>
      <c r="AF10" s="149"/>
      <c r="AG10" s="149"/>
    </row>
    <row r="11" spans="1:33" ht="15.75" hidden="1">
      <c r="A11" s="324"/>
      <c r="B11" s="181" t="s">
        <v>143</v>
      </c>
      <c r="C11" s="181" t="s">
        <v>143</v>
      </c>
      <c r="D11" s="181" t="s">
        <v>143</v>
      </c>
      <c r="E11" s="181" t="s">
        <v>143</v>
      </c>
      <c r="F11" s="181" t="s">
        <v>143</v>
      </c>
      <c r="G11" s="181" t="s">
        <v>143</v>
      </c>
      <c r="H11" s="181" t="s">
        <v>142</v>
      </c>
      <c r="I11" s="181" t="s">
        <v>142</v>
      </c>
      <c r="J11" s="181" t="s">
        <v>142</v>
      </c>
      <c r="K11" s="181" t="s">
        <v>143</v>
      </c>
      <c r="L11" s="181" t="s">
        <v>143</v>
      </c>
      <c r="M11" s="181" t="s">
        <v>143</v>
      </c>
      <c r="N11" s="181" t="s">
        <v>143</v>
      </c>
      <c r="O11" s="181" t="s">
        <v>142</v>
      </c>
      <c r="P11" s="181" t="s">
        <v>142</v>
      </c>
      <c r="Q11" s="181" t="s">
        <v>143</v>
      </c>
      <c r="R11" s="181" t="s">
        <v>143</v>
      </c>
      <c r="S11" s="181" t="s">
        <v>142</v>
      </c>
      <c r="T11" s="181" t="s">
        <v>142</v>
      </c>
      <c r="U11" s="181" t="s">
        <v>142</v>
      </c>
      <c r="V11" s="181" t="s">
        <v>142</v>
      </c>
      <c r="W11" s="181"/>
      <c r="X11" s="181"/>
      <c r="Y11" s="181"/>
      <c r="Z11" s="138"/>
      <c r="AA11" s="138"/>
      <c r="AB11" s="325"/>
      <c r="AD11" s="149"/>
      <c r="AE11" s="149"/>
      <c r="AF11" s="149"/>
      <c r="AG11" s="149"/>
    </row>
    <row r="12" spans="1:33" ht="15.75">
      <c r="A12" s="326" t="s">
        <v>4</v>
      </c>
      <c r="B12" s="180">
        <f>521.759999999776/AF12</f>
        <v>0.5217599999997761</v>
      </c>
      <c r="C12" s="180">
        <f>330.720000000204/AF12</f>
        <v>0.33072000000020396</v>
      </c>
      <c r="D12" s="180">
        <f>444.240000000223/AF12</f>
        <v>0.444240000000223</v>
      </c>
      <c r="E12" s="180">
        <f>371.880000000121/1000</f>
        <v>0.371880000000121</v>
      </c>
      <c r="F12" s="180">
        <f>496.08/1000</f>
        <v>0.49607999999999997</v>
      </c>
      <c r="G12" s="180">
        <f>649.44/1000</f>
        <v>0.64944</v>
      </c>
      <c r="H12" s="187">
        <v>0.01808</v>
      </c>
      <c r="I12" s="187">
        <f>(AC12*0.0823)/1000</f>
        <v>0.19751999999999997</v>
      </c>
      <c r="J12" s="187">
        <f>(AC12*0.059)/1000</f>
        <v>0.1416</v>
      </c>
      <c r="K12" s="187">
        <v>0.0744</v>
      </c>
      <c r="L12" s="187">
        <v>0.2052</v>
      </c>
      <c r="M12" s="182">
        <v>0.19</v>
      </c>
      <c r="N12" s="182">
        <v>0.353</v>
      </c>
      <c r="O12" s="187">
        <v>0.08367999999999999</v>
      </c>
      <c r="P12" s="187">
        <v>0.02224</v>
      </c>
      <c r="Q12" s="187">
        <v>0.0912</v>
      </c>
      <c r="R12" s="187">
        <v>0.18780000000000002</v>
      </c>
      <c r="S12" s="187">
        <v>0.06414</v>
      </c>
      <c r="T12" s="187">
        <v>0.0177</v>
      </c>
      <c r="U12" s="187">
        <v>0.1494</v>
      </c>
      <c r="V12" s="187">
        <v>0.2235</v>
      </c>
      <c r="W12" s="188">
        <f>R12+Q12+N12+M12+L12+K12+G12+F12+E12+D12+C12+B12</f>
        <v>3.915720000000325</v>
      </c>
      <c r="X12" s="182">
        <f>V12+U12+T12+S12+P12+O12+J12+I12+H12</f>
        <v>0.91786</v>
      </c>
      <c r="Y12" s="182"/>
      <c r="Z12" s="146">
        <f>W12+X12+Y12</f>
        <v>4.833580000000325</v>
      </c>
      <c r="AA12" s="189">
        <v>1.12383</v>
      </c>
      <c r="AB12" s="327">
        <f>Z12-AA12</f>
        <v>3.7097500000003247</v>
      </c>
      <c r="AC12" s="149">
        <v>2400</v>
      </c>
      <c r="AD12" s="149">
        <v>2000</v>
      </c>
      <c r="AE12" s="149"/>
      <c r="AF12" s="149">
        <v>1000</v>
      </c>
      <c r="AG12" s="149"/>
    </row>
    <row r="13" spans="1:28" ht="15.75">
      <c r="A13" s="328" t="s">
        <v>17</v>
      </c>
      <c r="B13" s="180">
        <f>496.800000000046/1000</f>
        <v>0.496800000000046</v>
      </c>
      <c r="C13" s="180">
        <f>316.320000000065/AF12</f>
        <v>0.31632000000006505</v>
      </c>
      <c r="D13" s="180">
        <f>408.240000000223/AF12</f>
        <v>0.408240000000223</v>
      </c>
      <c r="E13" s="180">
        <f>342.720000000204/1000</f>
        <v>0.342720000000204</v>
      </c>
      <c r="F13" s="180">
        <f>453.6/1000</f>
        <v>0.4536</v>
      </c>
      <c r="G13" s="180">
        <f>578.16/1000</f>
        <v>0.57816</v>
      </c>
      <c r="H13" s="187">
        <v>0.01872</v>
      </c>
      <c r="I13" s="187">
        <f>(AC12*0.0744)/1000</f>
        <v>0.17855999999999997</v>
      </c>
      <c r="J13" s="187">
        <f>(AC12*0.0557)/1000</f>
        <v>0.13368</v>
      </c>
      <c r="K13" s="187">
        <v>0.06719999999999998</v>
      </c>
      <c r="L13" s="187">
        <v>0.17039999999999997</v>
      </c>
      <c r="M13" s="182">
        <v>0.1708</v>
      </c>
      <c r="N13" s="182">
        <v>0.3376</v>
      </c>
      <c r="O13" s="187">
        <v>0.08304</v>
      </c>
      <c r="P13" s="187">
        <v>0.017119999999999996</v>
      </c>
      <c r="Q13" s="187">
        <v>0.0768</v>
      </c>
      <c r="R13" s="187">
        <v>0.18059999999999998</v>
      </c>
      <c r="S13" s="187">
        <v>0.06294</v>
      </c>
      <c r="T13" s="187">
        <v>0.01776</v>
      </c>
      <c r="U13" s="187">
        <v>0.1605</v>
      </c>
      <c r="V13" s="187">
        <v>0.2292</v>
      </c>
      <c r="W13" s="188">
        <f aca="true" t="shared" si="0" ref="W13:W35">R13+Q13+N13+M13+L13+K13+G13+F13+E13+D13+C13+B13</f>
        <v>3.5992400000005387</v>
      </c>
      <c r="X13" s="182">
        <f aca="true" t="shared" si="1" ref="X13:X35">V13+U13+T13+S13+P13+O13+J13+I13+H13</f>
        <v>0.9015199999999999</v>
      </c>
      <c r="Y13" s="182"/>
      <c r="Z13" s="146">
        <f aca="true" t="shared" si="2" ref="Z13:Z35">W13+X13+Y13</f>
        <v>4.500760000000539</v>
      </c>
      <c r="AA13" s="189">
        <v>1.1115499999999998</v>
      </c>
      <c r="AB13" s="327">
        <f aca="true" t="shared" si="3" ref="AB13:AB36">Z13-AA13</f>
        <v>3.389210000000539</v>
      </c>
    </row>
    <row r="14" spans="1:28" ht="15.75">
      <c r="A14" s="328" t="s">
        <v>18</v>
      </c>
      <c r="B14" s="180">
        <f>489.119999999878/1000</f>
        <v>0.48911999999987804</v>
      </c>
      <c r="C14" s="180">
        <f>300.479999999981/AF12</f>
        <v>0.300479999999981</v>
      </c>
      <c r="D14" s="180">
        <f>385.200000000186/AF12</f>
        <v>0.385200000000186</v>
      </c>
      <c r="E14" s="180">
        <f>327.960000000195/1000</f>
        <v>0.327960000000195</v>
      </c>
      <c r="F14" s="180">
        <f>426.24/1000</f>
        <v>0.42624</v>
      </c>
      <c r="G14" s="180">
        <f>537.84/1000</f>
        <v>0.53784</v>
      </c>
      <c r="H14" s="187">
        <v>0.01904</v>
      </c>
      <c r="I14" s="187">
        <f>(AC12*0.066)/1000</f>
        <v>0.1584</v>
      </c>
      <c r="J14" s="187">
        <f>(0.0518*AC12)/1000</f>
        <v>0.12432</v>
      </c>
      <c r="K14" s="187">
        <v>0.06719999999999998</v>
      </c>
      <c r="L14" s="187">
        <v>0.17039999999999997</v>
      </c>
      <c r="M14" s="182">
        <v>0.1648</v>
      </c>
      <c r="N14" s="182">
        <v>0.3118</v>
      </c>
      <c r="O14" s="187">
        <v>0.08848</v>
      </c>
      <c r="P14" s="187">
        <v>0.015040000000000001</v>
      </c>
      <c r="Q14" s="187">
        <v>0.0702</v>
      </c>
      <c r="R14" s="187">
        <v>0.1776</v>
      </c>
      <c r="S14" s="187">
        <v>0.06437999999999999</v>
      </c>
      <c r="T14" s="187">
        <v>0.01782</v>
      </c>
      <c r="U14" s="187">
        <v>0.15480000000000002</v>
      </c>
      <c r="V14" s="187">
        <v>0.225</v>
      </c>
      <c r="W14" s="188">
        <f t="shared" si="0"/>
        <v>3.42884000000024</v>
      </c>
      <c r="X14" s="182">
        <f t="shared" si="1"/>
        <v>0.86728</v>
      </c>
      <c r="Y14" s="182"/>
      <c r="Z14" s="146">
        <f t="shared" si="2"/>
        <v>4.29612000000024</v>
      </c>
      <c r="AA14" s="189">
        <v>1.1052199999999999</v>
      </c>
      <c r="AB14" s="327">
        <f t="shared" si="3"/>
        <v>3.19090000000024</v>
      </c>
    </row>
    <row r="15" spans="1:28" ht="15.75">
      <c r="A15" s="328" t="s">
        <v>19</v>
      </c>
      <c r="B15" s="180">
        <f>475.680000000167/1000</f>
        <v>0.475680000000167</v>
      </c>
      <c r="C15" s="180">
        <f>313.440000000176/AF12</f>
        <v>0.31344000000017597</v>
      </c>
      <c r="D15" s="180">
        <f>377.28000000026/AF12</f>
        <v>0.37728000000025996</v>
      </c>
      <c r="E15" s="180">
        <f>317.160000000149/1000</f>
        <v>0.317160000000149</v>
      </c>
      <c r="F15" s="180">
        <f>420.48/1000</f>
        <v>0.42048</v>
      </c>
      <c r="G15" s="180">
        <f>516.24/1000</f>
        <v>0.51624</v>
      </c>
      <c r="H15" s="187">
        <v>0.0192</v>
      </c>
      <c r="I15" s="187">
        <f>(AC12*0.066)/1000</f>
        <v>0.1584</v>
      </c>
      <c r="J15" s="187">
        <f>(0.0485*AC12)/1000</f>
        <v>0.1164</v>
      </c>
      <c r="K15" s="187">
        <v>0.06359999999999999</v>
      </c>
      <c r="L15" s="187">
        <v>0.1596</v>
      </c>
      <c r="M15" s="182">
        <v>0.16019999999999998</v>
      </c>
      <c r="N15" s="182">
        <v>0.302</v>
      </c>
      <c r="O15" s="187">
        <v>0.08608</v>
      </c>
      <c r="P15" s="187">
        <v>0.01408</v>
      </c>
      <c r="Q15" s="187">
        <v>0.0684</v>
      </c>
      <c r="R15" s="187">
        <v>0.1728</v>
      </c>
      <c r="S15" s="187">
        <v>0.0648</v>
      </c>
      <c r="T15" s="187">
        <v>0.01782</v>
      </c>
      <c r="U15" s="187">
        <v>0.1404</v>
      </c>
      <c r="V15" s="187">
        <v>0.222</v>
      </c>
      <c r="W15" s="188">
        <f t="shared" si="0"/>
        <v>3.346880000000752</v>
      </c>
      <c r="X15" s="182">
        <f t="shared" si="1"/>
        <v>0.83918</v>
      </c>
      <c r="Y15" s="182"/>
      <c r="Z15" s="146">
        <f t="shared" si="2"/>
        <v>4.186060000000752</v>
      </c>
      <c r="AA15" s="189">
        <v>1.10169</v>
      </c>
      <c r="AB15" s="327">
        <f t="shared" si="3"/>
        <v>3.0843700000007517</v>
      </c>
    </row>
    <row r="16" spans="1:28" ht="15.75">
      <c r="A16" s="328" t="s">
        <v>20</v>
      </c>
      <c r="B16" s="180">
        <f>524.639999999897/1000</f>
        <v>0.524639999999897</v>
      </c>
      <c r="C16" s="180">
        <f>311.040000000037/AF12</f>
        <v>0.311040000000037</v>
      </c>
      <c r="D16" s="180">
        <f>383.760000000009/AF12</f>
        <v>0.383760000000009</v>
      </c>
      <c r="E16" s="180">
        <f>325.080000000074/1000</f>
        <v>0.325080000000074</v>
      </c>
      <c r="F16" s="180">
        <f>457.2/1000</f>
        <v>0.4572</v>
      </c>
      <c r="G16" s="180">
        <f>510.48/1000</f>
        <v>0.51048</v>
      </c>
      <c r="H16" s="187">
        <v>0.019280000000000002</v>
      </c>
      <c r="I16" s="187">
        <f>(AC12*0.0737)/1000</f>
        <v>0.17687999999999998</v>
      </c>
      <c r="J16" s="187">
        <f>(0.0533*AC12)/1000</f>
        <v>0.12792</v>
      </c>
      <c r="K16" s="187">
        <v>0.059399999999999994</v>
      </c>
      <c r="L16" s="187">
        <v>0.144</v>
      </c>
      <c r="M16" s="182">
        <v>0.1664</v>
      </c>
      <c r="N16" s="182">
        <v>0.30839999999999995</v>
      </c>
      <c r="O16" s="187">
        <v>0.08448</v>
      </c>
      <c r="P16" s="187">
        <v>0.013120000000000001</v>
      </c>
      <c r="Q16" s="187">
        <v>0.069</v>
      </c>
      <c r="R16" s="187">
        <v>0.1776</v>
      </c>
      <c r="S16" s="187">
        <v>0.06197999999999999</v>
      </c>
      <c r="T16" s="187">
        <v>0.01776</v>
      </c>
      <c r="U16" s="187">
        <v>0.1446</v>
      </c>
      <c r="V16" s="187">
        <v>0.22319999999999998</v>
      </c>
      <c r="W16" s="188">
        <f t="shared" si="0"/>
        <v>3.437000000000017</v>
      </c>
      <c r="X16" s="182">
        <f t="shared" si="1"/>
        <v>0.8692199999999999</v>
      </c>
      <c r="Y16" s="182"/>
      <c r="Z16" s="146">
        <f t="shared" si="2"/>
        <v>4.3062200000000175</v>
      </c>
      <c r="AA16" s="189">
        <v>1.0996199999999998</v>
      </c>
      <c r="AB16" s="327">
        <f t="shared" si="3"/>
        <v>3.2066000000000177</v>
      </c>
    </row>
    <row r="17" spans="1:28" ht="15.75">
      <c r="A17" s="328" t="s">
        <v>21</v>
      </c>
      <c r="B17" s="180">
        <f>545.760000000242/AF12</f>
        <v>0.545760000000242</v>
      </c>
      <c r="C17" s="180">
        <f>336/AF12</f>
        <v>0.336</v>
      </c>
      <c r="D17" s="180">
        <f>437.760000000009/AF12</f>
        <v>0.437760000000009</v>
      </c>
      <c r="E17" s="180">
        <f>366.840000000083/1000</f>
        <v>0.36684000000008304</v>
      </c>
      <c r="F17" s="180">
        <f>515.52/1000</f>
        <v>0.51552</v>
      </c>
      <c r="G17" s="180">
        <f>586.08/1000</f>
        <v>0.58608</v>
      </c>
      <c r="H17" s="187">
        <v>0.01936</v>
      </c>
      <c r="I17" s="187">
        <f>(AC12*0.0948)/1000</f>
        <v>0.22751999999999997</v>
      </c>
      <c r="J17" s="187">
        <f>(0.0672*AC12)/1000</f>
        <v>0.16128</v>
      </c>
      <c r="K17" s="187">
        <v>0.0594</v>
      </c>
      <c r="L17" s="187">
        <v>0.15059999999999998</v>
      </c>
      <c r="M17" s="182">
        <v>0.19019999999999998</v>
      </c>
      <c r="N17" s="182">
        <v>0.36119999999999997</v>
      </c>
      <c r="O17" s="187">
        <v>0.08367999999999999</v>
      </c>
      <c r="P17" s="187">
        <v>0.011519999999999999</v>
      </c>
      <c r="Q17" s="187">
        <v>0.081</v>
      </c>
      <c r="R17" s="187">
        <v>0.18780000000000002</v>
      </c>
      <c r="S17" s="187">
        <v>0.07044</v>
      </c>
      <c r="T17" s="187">
        <v>0.01782</v>
      </c>
      <c r="U17" s="187">
        <v>0.1554</v>
      </c>
      <c r="V17" s="187">
        <v>0.2196</v>
      </c>
      <c r="W17" s="188">
        <f t="shared" si="0"/>
        <v>3.8181600000003337</v>
      </c>
      <c r="X17" s="182">
        <f t="shared" si="1"/>
        <v>0.9666199999999999</v>
      </c>
      <c r="Y17" s="182"/>
      <c r="Z17" s="146">
        <f t="shared" si="2"/>
        <v>4.7847800000003335</v>
      </c>
      <c r="AA17" s="189">
        <v>1.1082100000000001</v>
      </c>
      <c r="AB17" s="327">
        <f t="shared" si="3"/>
        <v>3.6765700000003334</v>
      </c>
    </row>
    <row r="18" spans="1:28" ht="15.75">
      <c r="A18" s="328" t="s">
        <v>22</v>
      </c>
      <c r="B18" s="180">
        <f>687.83999999985/AF12</f>
        <v>0.68783999999985</v>
      </c>
      <c r="C18" s="180">
        <f>425.760000000009/AF12</f>
        <v>0.42576000000000896</v>
      </c>
      <c r="D18" s="180">
        <f>514.440000000409/1000</f>
        <v>0.514440000000409</v>
      </c>
      <c r="E18" s="180">
        <f>426.23999999999/1000</f>
        <v>0.42623999999999</v>
      </c>
      <c r="F18" s="180">
        <f>640.8/1000</f>
        <v>0.6407999999999999</v>
      </c>
      <c r="G18" s="180">
        <f>755.28/1000</f>
        <v>0.75528</v>
      </c>
      <c r="H18" s="187">
        <v>0.0192</v>
      </c>
      <c r="I18" s="187">
        <f>(AC12*0.102)/1000</f>
        <v>0.2448</v>
      </c>
      <c r="J18" s="187">
        <f>(0.0802*AC12)/1000</f>
        <v>0.19247999999999998</v>
      </c>
      <c r="K18" s="187">
        <v>0.072</v>
      </c>
      <c r="L18" s="187">
        <v>0.183</v>
      </c>
      <c r="M18" s="182">
        <v>0.2152</v>
      </c>
      <c r="N18" s="182">
        <v>0.5014</v>
      </c>
      <c r="O18" s="187">
        <v>0.08544</v>
      </c>
      <c r="P18" s="187">
        <v>0.01696</v>
      </c>
      <c r="Q18" s="187">
        <v>0.09179999999999999</v>
      </c>
      <c r="R18" s="187">
        <v>0.204</v>
      </c>
      <c r="S18" s="187">
        <v>0.09414</v>
      </c>
      <c r="T18" s="187">
        <v>0.01998</v>
      </c>
      <c r="U18" s="187">
        <v>0.1668</v>
      </c>
      <c r="V18" s="187">
        <v>0.2394</v>
      </c>
      <c r="W18" s="188">
        <f t="shared" si="0"/>
        <v>4.717760000000259</v>
      </c>
      <c r="X18" s="182">
        <f t="shared" si="1"/>
        <v>1.0792</v>
      </c>
      <c r="Y18" s="182"/>
      <c r="Z18" s="146">
        <f t="shared" si="2"/>
        <v>5.796960000000259</v>
      </c>
      <c r="AA18" s="189">
        <v>1.2785</v>
      </c>
      <c r="AB18" s="327">
        <f t="shared" si="3"/>
        <v>4.518460000000259</v>
      </c>
    </row>
    <row r="19" spans="1:28" ht="15.75">
      <c r="A19" s="328" t="s">
        <v>23</v>
      </c>
      <c r="B19" s="180">
        <f>770.880000000353/AF12</f>
        <v>0.770880000000353</v>
      </c>
      <c r="C19" s="180">
        <f>471.840000000083/AF12</f>
        <v>0.471840000000083</v>
      </c>
      <c r="D19" s="180">
        <f>527.400000000372/1000</f>
        <v>0.527400000000372</v>
      </c>
      <c r="E19" s="180">
        <f>423/1000</f>
        <v>0.423</v>
      </c>
      <c r="F19" s="180">
        <f>696.24/1000</f>
        <v>0.69624</v>
      </c>
      <c r="G19" s="180">
        <f>878.4/1000</f>
        <v>0.8784</v>
      </c>
      <c r="H19" s="187">
        <v>0.01896</v>
      </c>
      <c r="I19" s="187">
        <f>(AC12*0.1013)/1000</f>
        <v>0.24312</v>
      </c>
      <c r="J19" s="187">
        <f>(0.0703*AC12)/1000</f>
        <v>0.16872</v>
      </c>
      <c r="K19" s="187">
        <v>0.0972</v>
      </c>
      <c r="L19" s="187">
        <v>0.24359999999999998</v>
      </c>
      <c r="M19" s="182">
        <v>0.2258</v>
      </c>
      <c r="N19" s="182">
        <v>0.5574000000000001</v>
      </c>
      <c r="O19" s="187">
        <v>0.09088000000000002</v>
      </c>
      <c r="P19" s="187">
        <v>0.03408</v>
      </c>
      <c r="Q19" s="187">
        <v>0.102</v>
      </c>
      <c r="R19" s="187">
        <v>0.27</v>
      </c>
      <c r="S19" s="187">
        <v>0.10326</v>
      </c>
      <c r="T19" s="187">
        <v>0.02454</v>
      </c>
      <c r="U19" s="187">
        <v>0.2226</v>
      </c>
      <c r="V19" s="187">
        <v>0.4383</v>
      </c>
      <c r="W19" s="188">
        <f t="shared" si="0"/>
        <v>5.263760000000808</v>
      </c>
      <c r="X19" s="182">
        <f t="shared" si="1"/>
        <v>1.3444600000000002</v>
      </c>
      <c r="Y19" s="182"/>
      <c r="Z19" s="146">
        <f t="shared" si="2"/>
        <v>6.608220000000808</v>
      </c>
      <c r="AA19" s="189">
        <v>1.5298900000000002</v>
      </c>
      <c r="AB19" s="327">
        <f t="shared" si="3"/>
        <v>5.078330000000808</v>
      </c>
    </row>
    <row r="20" spans="1:28" ht="15.75">
      <c r="A20" s="328" t="s">
        <v>24</v>
      </c>
      <c r="B20" s="180">
        <f>776.64000000013/AF12</f>
        <v>0.77664000000013</v>
      </c>
      <c r="C20" s="180">
        <f>553.439999999944/AF12</f>
        <v>0.553439999999944</v>
      </c>
      <c r="D20" s="180">
        <f>537.840000000316/1000</f>
        <v>0.537840000000316</v>
      </c>
      <c r="E20" s="180">
        <f>419.040000000037/1000</f>
        <v>0.41904000000003705</v>
      </c>
      <c r="F20" s="180">
        <f>748.8/1000</f>
        <v>0.7487999999999999</v>
      </c>
      <c r="G20" s="180">
        <f>893.52/1000</f>
        <v>0.89352</v>
      </c>
      <c r="H20" s="187">
        <v>0.0192</v>
      </c>
      <c r="I20" s="187">
        <f>(AC12*0.1022)/1000</f>
        <v>0.24528</v>
      </c>
      <c r="J20" s="187">
        <f>(0.0739*AC12)/1000</f>
        <v>0.17736</v>
      </c>
      <c r="K20" s="187">
        <v>0.105</v>
      </c>
      <c r="L20" s="187">
        <v>0.2496</v>
      </c>
      <c r="M20" s="182">
        <v>0.23139999999999997</v>
      </c>
      <c r="N20" s="182">
        <v>0.562</v>
      </c>
      <c r="O20" s="187">
        <v>0.13968</v>
      </c>
      <c r="P20" s="187">
        <v>0.041120000000000004</v>
      </c>
      <c r="Q20" s="187">
        <v>0.1014</v>
      </c>
      <c r="R20" s="187">
        <v>0.2736</v>
      </c>
      <c r="S20" s="187">
        <v>0.10338</v>
      </c>
      <c r="T20" s="187">
        <v>0.02268</v>
      </c>
      <c r="U20" s="187">
        <v>0.1968</v>
      </c>
      <c r="V20" s="187">
        <v>0.5736</v>
      </c>
      <c r="W20" s="188">
        <f t="shared" si="0"/>
        <v>5.452280000000428</v>
      </c>
      <c r="X20" s="182">
        <f t="shared" si="1"/>
        <v>1.5191000000000001</v>
      </c>
      <c r="Y20" s="182"/>
      <c r="Z20" s="146">
        <f t="shared" si="2"/>
        <v>6.971380000000428</v>
      </c>
      <c r="AA20" s="189">
        <v>1.8495599999999999</v>
      </c>
      <c r="AB20" s="327">
        <f t="shared" si="3"/>
        <v>5.121820000000428</v>
      </c>
    </row>
    <row r="21" spans="1:28" ht="15.75">
      <c r="A21" s="328" t="s">
        <v>28</v>
      </c>
      <c r="B21" s="180">
        <f>813.119999999646/AF12</f>
        <v>0.813119999999646</v>
      </c>
      <c r="C21" s="180">
        <f>660.479999999981/AF12</f>
        <v>0.6604799999999811</v>
      </c>
      <c r="D21" s="180">
        <f>556.920000000391/1000</f>
        <v>0.556920000000391</v>
      </c>
      <c r="E21" s="180">
        <f>450.360000000102/1000</f>
        <v>0.450360000000102</v>
      </c>
      <c r="F21" s="180">
        <f>823.68/1000</f>
        <v>0.82368</v>
      </c>
      <c r="G21" s="180">
        <f>950.4/1000</f>
        <v>0.9504</v>
      </c>
      <c r="H21" s="187">
        <v>0.018240000000000003</v>
      </c>
      <c r="I21" s="187">
        <f>(AC12*0.1152)/1000</f>
        <v>0.27648</v>
      </c>
      <c r="J21" s="187">
        <f>(0.0804*AC12)/1000</f>
        <v>0.19296000000000002</v>
      </c>
      <c r="K21" s="187">
        <v>0.1296</v>
      </c>
      <c r="L21" s="187">
        <v>0.2502</v>
      </c>
      <c r="M21" s="182">
        <v>0.2288</v>
      </c>
      <c r="N21" s="182">
        <v>0.6314000000000001</v>
      </c>
      <c r="O21" s="187">
        <v>0.164</v>
      </c>
      <c r="P21" s="187">
        <v>0.07216</v>
      </c>
      <c r="Q21" s="187">
        <v>0.1134</v>
      </c>
      <c r="R21" s="187">
        <v>0.2814</v>
      </c>
      <c r="S21" s="187">
        <v>0.11045999999999999</v>
      </c>
      <c r="T21" s="187">
        <v>0.02532</v>
      </c>
      <c r="U21" s="187">
        <v>0.2046</v>
      </c>
      <c r="V21" s="187">
        <v>0.5565</v>
      </c>
      <c r="W21" s="188">
        <f t="shared" si="0"/>
        <v>5.88976000000012</v>
      </c>
      <c r="X21" s="182">
        <f t="shared" si="1"/>
        <v>1.6207200000000002</v>
      </c>
      <c r="Y21" s="182"/>
      <c r="Z21" s="146">
        <f t="shared" si="2"/>
        <v>7.51048000000012</v>
      </c>
      <c r="AA21" s="189">
        <v>2.10119</v>
      </c>
      <c r="AB21" s="327">
        <f t="shared" si="3"/>
        <v>5.40929000000012</v>
      </c>
    </row>
    <row r="22" spans="1:28" ht="15.75">
      <c r="A22" s="328" t="s">
        <v>25</v>
      </c>
      <c r="B22" s="180">
        <f>844.800000000279/AF12</f>
        <v>0.8448000000002791</v>
      </c>
      <c r="C22" s="180">
        <f>724.799999999813/AF12</f>
        <v>0.724799999999813</v>
      </c>
      <c r="D22" s="180">
        <f>577.800000000279/1000</f>
        <v>0.5778000000002791</v>
      </c>
      <c r="E22" s="180">
        <f>460.080000000074/1000</f>
        <v>0.460080000000074</v>
      </c>
      <c r="F22" s="180">
        <f>879.84/1000</f>
        <v>0.8798400000000001</v>
      </c>
      <c r="G22" s="180">
        <f>1029.6/1000</f>
        <v>1.0295999999999998</v>
      </c>
      <c r="H22" s="187">
        <v>0.01728</v>
      </c>
      <c r="I22" s="187">
        <f>(AC12*0.1128)/1000</f>
        <v>0.27071999999999996</v>
      </c>
      <c r="J22" s="187">
        <f>(0.0842*AC12)/1000</f>
        <v>0.20207999999999998</v>
      </c>
      <c r="K22" s="187">
        <v>0.15780000000000002</v>
      </c>
      <c r="L22" s="187">
        <v>0.264</v>
      </c>
      <c r="M22" s="182">
        <v>0.2476</v>
      </c>
      <c r="N22" s="182">
        <v>0.6134</v>
      </c>
      <c r="O22" s="187">
        <v>0.19776</v>
      </c>
      <c r="P22" s="187">
        <v>0.09952</v>
      </c>
      <c r="Q22" s="187">
        <v>0.1152</v>
      </c>
      <c r="R22" s="187">
        <v>0.2832</v>
      </c>
      <c r="S22" s="187">
        <v>0.10878</v>
      </c>
      <c r="T22" s="187">
        <v>0.02286</v>
      </c>
      <c r="U22" s="187">
        <v>0.18930000000000002</v>
      </c>
      <c r="V22" s="187">
        <v>0.5304</v>
      </c>
      <c r="W22" s="188">
        <f t="shared" si="0"/>
        <v>6.198120000000444</v>
      </c>
      <c r="X22" s="182">
        <f t="shared" si="1"/>
        <v>1.6387</v>
      </c>
      <c r="Y22" s="182"/>
      <c r="Z22" s="146">
        <f t="shared" si="2"/>
        <v>7.836820000000444</v>
      </c>
      <c r="AA22" s="189">
        <v>2.39016</v>
      </c>
      <c r="AB22" s="327">
        <f t="shared" si="3"/>
        <v>5.446660000000445</v>
      </c>
    </row>
    <row r="23" spans="1:28" ht="15.75">
      <c r="A23" s="328" t="s">
        <v>26</v>
      </c>
      <c r="B23" s="180">
        <f>837.119999999646/AF12</f>
        <v>0.837119999999646</v>
      </c>
      <c r="C23" s="180">
        <f>724.799999999813/AF12</f>
        <v>0.724799999999813</v>
      </c>
      <c r="D23" s="180">
        <f>577.080000000074/1000</f>
        <v>0.5770800000000741</v>
      </c>
      <c r="E23" s="180">
        <f>458.64000000013/1000</f>
        <v>0.45864000000013</v>
      </c>
      <c r="F23" s="180">
        <f>906.48/1000</f>
        <v>0.9064800000000001</v>
      </c>
      <c r="G23" s="187">
        <v>1.03464</v>
      </c>
      <c r="H23" s="187">
        <v>0.01696</v>
      </c>
      <c r="I23" s="187">
        <f>(AC12*0.1202)/1000</f>
        <v>0.28848</v>
      </c>
      <c r="J23" s="187">
        <f>(0.0794*AC12)/1000</f>
        <v>0.19056</v>
      </c>
      <c r="K23" s="187">
        <v>0.1548</v>
      </c>
      <c r="L23" s="187">
        <v>0.2712</v>
      </c>
      <c r="M23" s="182">
        <v>0.2578</v>
      </c>
      <c r="N23" s="182">
        <v>0.5893999999999999</v>
      </c>
      <c r="O23" s="187">
        <v>0.20112</v>
      </c>
      <c r="P23" s="187">
        <v>0.11072</v>
      </c>
      <c r="Q23" s="187">
        <v>0.12179999999999999</v>
      </c>
      <c r="R23" s="187">
        <v>0.24780000000000002</v>
      </c>
      <c r="S23" s="187">
        <v>0.10266</v>
      </c>
      <c r="T23" s="187">
        <v>0.0198</v>
      </c>
      <c r="U23" s="187">
        <v>0.18569999999999998</v>
      </c>
      <c r="V23" s="187">
        <v>0.3486</v>
      </c>
      <c r="W23" s="188">
        <f t="shared" si="0"/>
        <v>6.181559999999663</v>
      </c>
      <c r="X23" s="182">
        <f t="shared" si="1"/>
        <v>1.4646000000000001</v>
      </c>
      <c r="Y23" s="182"/>
      <c r="Z23" s="146">
        <f t="shared" si="2"/>
        <v>7.646159999999663</v>
      </c>
      <c r="AA23" s="189">
        <v>2.53883</v>
      </c>
      <c r="AB23" s="327">
        <f t="shared" si="3"/>
        <v>5.107329999999663</v>
      </c>
    </row>
    <row r="24" spans="1:28" ht="15.75">
      <c r="A24" s="328" t="s">
        <v>27</v>
      </c>
      <c r="B24" s="180">
        <f>838.560000000055/AF12</f>
        <v>0.8385600000000549</v>
      </c>
      <c r="C24" s="180">
        <f>725.759999999776/AF12</f>
        <v>0.725759999999776</v>
      </c>
      <c r="D24" s="180">
        <f>592.560000000521/1000</f>
        <v>0.592560000000521</v>
      </c>
      <c r="E24" s="180">
        <f>466.560000000055/1000</f>
        <v>0.46656000000005504</v>
      </c>
      <c r="F24" s="180">
        <f>915.12/1000</f>
        <v>0.91512</v>
      </c>
      <c r="G24" s="187">
        <v>1.05768</v>
      </c>
      <c r="H24" s="187">
        <v>0.016800000000000002</v>
      </c>
      <c r="I24" s="187">
        <f>(AC12*0.1224)/1000</f>
        <v>0.29375999999999997</v>
      </c>
      <c r="J24" s="187">
        <f>(0.0828*AC12)/1000</f>
        <v>0.19872</v>
      </c>
      <c r="K24" s="187">
        <v>0.1614</v>
      </c>
      <c r="L24" s="187">
        <v>0.2856</v>
      </c>
      <c r="M24" s="182">
        <v>0.28</v>
      </c>
      <c r="N24" s="182">
        <v>0.6295999999999999</v>
      </c>
      <c r="O24" s="187">
        <v>0.22384</v>
      </c>
      <c r="P24" s="187">
        <v>0.10543999999999999</v>
      </c>
      <c r="Q24" s="187">
        <v>0.123</v>
      </c>
      <c r="R24" s="187">
        <v>0.2838</v>
      </c>
      <c r="S24" s="187">
        <v>0.1056</v>
      </c>
      <c r="T24" s="187">
        <v>0.02418</v>
      </c>
      <c r="U24" s="187">
        <v>0.2112</v>
      </c>
      <c r="V24" s="187">
        <v>0.49710000000000004</v>
      </c>
      <c r="W24" s="188">
        <f t="shared" si="0"/>
        <v>6.359640000000408</v>
      </c>
      <c r="X24" s="182">
        <f t="shared" si="1"/>
        <v>1.67664</v>
      </c>
      <c r="Y24" s="182"/>
      <c r="Z24" s="146">
        <f t="shared" si="2"/>
        <v>8.036280000000408</v>
      </c>
      <c r="AA24" s="189">
        <v>2.5232400000000004</v>
      </c>
      <c r="AB24" s="327">
        <f t="shared" si="3"/>
        <v>5.513040000000408</v>
      </c>
    </row>
    <row r="25" spans="1:28" ht="15.75">
      <c r="A25" s="329" t="s">
        <v>5</v>
      </c>
      <c r="B25" s="180">
        <f>813.119999999646/AF12</f>
        <v>0.813119999999646</v>
      </c>
      <c r="C25" s="180">
        <f>740.160000000149/AF12</f>
        <v>0.740160000000149</v>
      </c>
      <c r="D25" s="180">
        <f>600.840000000316/1000</f>
        <v>0.600840000000316</v>
      </c>
      <c r="E25" s="180">
        <f>477/1000</f>
        <v>0.477</v>
      </c>
      <c r="F25" s="180">
        <f>895.68/1000</f>
        <v>0.8956799999999999</v>
      </c>
      <c r="G25" s="187">
        <v>1.0692000000000002</v>
      </c>
      <c r="H25" s="187">
        <v>0.01632</v>
      </c>
      <c r="I25" s="187">
        <f>(AC12*0.1159)/1000</f>
        <v>0.27816</v>
      </c>
      <c r="J25" s="187">
        <f>(0.0866*AC12)/1000</f>
        <v>0.20784</v>
      </c>
      <c r="K25" s="187">
        <v>0.1686</v>
      </c>
      <c r="L25" s="187">
        <v>0.2844</v>
      </c>
      <c r="M25" s="182">
        <v>0.2682</v>
      </c>
      <c r="N25" s="182">
        <v>0.6184000000000001</v>
      </c>
      <c r="O25" s="187">
        <v>0.22016</v>
      </c>
      <c r="P25" s="187">
        <v>0.09776</v>
      </c>
      <c r="Q25" s="187">
        <v>0.12840000000000001</v>
      </c>
      <c r="R25" s="187">
        <v>0.2988</v>
      </c>
      <c r="S25" s="187">
        <v>0.11220000000000001</v>
      </c>
      <c r="T25" s="187">
        <v>0.02088</v>
      </c>
      <c r="U25" s="187">
        <v>0.2007</v>
      </c>
      <c r="V25" s="187">
        <v>0.5055</v>
      </c>
      <c r="W25" s="188">
        <f t="shared" si="0"/>
        <v>6.362800000000111</v>
      </c>
      <c r="X25" s="182">
        <f t="shared" si="1"/>
        <v>1.6595199999999997</v>
      </c>
      <c r="Y25" s="182"/>
      <c r="Z25" s="146">
        <f t="shared" si="2"/>
        <v>8.02232000000011</v>
      </c>
      <c r="AA25" s="189">
        <v>2.52077</v>
      </c>
      <c r="AB25" s="327">
        <f t="shared" si="3"/>
        <v>5.50155000000011</v>
      </c>
    </row>
    <row r="26" spans="1:28" ht="15.75">
      <c r="A26" s="329" t="s">
        <v>6</v>
      </c>
      <c r="B26" s="180">
        <f>810.240000000223/AF12</f>
        <v>0.810240000000223</v>
      </c>
      <c r="C26" s="180">
        <f>714.719999999739/AF12</f>
        <v>0.714719999999739</v>
      </c>
      <c r="D26" s="180">
        <f>606.600000000093/1000</f>
        <v>0.6066000000000931</v>
      </c>
      <c r="E26" s="180">
        <f>480.240000000223/1000</f>
        <v>0.480240000000223</v>
      </c>
      <c r="F26" s="180">
        <f>897.84/1000</f>
        <v>0.8978400000000001</v>
      </c>
      <c r="G26" s="187">
        <v>1.0591199999999998</v>
      </c>
      <c r="H26" s="187">
        <v>0.015519999999999999</v>
      </c>
      <c r="I26" s="187">
        <f>(AC12*0.1135)/1000</f>
        <v>0.27240000000000003</v>
      </c>
      <c r="J26" s="187">
        <f>(0.084*AC12)/1000</f>
        <v>0.20160000000000003</v>
      </c>
      <c r="K26" s="187">
        <v>0.1638</v>
      </c>
      <c r="L26" s="187">
        <v>0.2796</v>
      </c>
      <c r="M26" s="182">
        <v>0.26</v>
      </c>
      <c r="N26" s="182">
        <v>0.6287999999999999</v>
      </c>
      <c r="O26" s="187">
        <v>0.21968000000000001</v>
      </c>
      <c r="P26" s="187">
        <v>0.09328</v>
      </c>
      <c r="Q26" s="187">
        <v>0.1296</v>
      </c>
      <c r="R26" s="187">
        <v>0.2934</v>
      </c>
      <c r="S26" s="187">
        <v>0.1107</v>
      </c>
      <c r="T26" s="187">
        <v>0.019739999999999997</v>
      </c>
      <c r="U26" s="187">
        <v>0.1905</v>
      </c>
      <c r="V26" s="187">
        <v>0.4608</v>
      </c>
      <c r="W26" s="188">
        <f t="shared" si="0"/>
        <v>6.323960000000278</v>
      </c>
      <c r="X26" s="182">
        <f t="shared" si="1"/>
        <v>1.58422</v>
      </c>
      <c r="Y26" s="182"/>
      <c r="Z26" s="146">
        <f t="shared" si="2"/>
        <v>7.908180000000278</v>
      </c>
      <c r="AA26" s="189">
        <v>2.46649</v>
      </c>
      <c r="AB26" s="327">
        <f t="shared" si="3"/>
        <v>5.441690000000278</v>
      </c>
    </row>
    <row r="27" spans="1:28" ht="15.75">
      <c r="A27" s="329" t="s">
        <v>7</v>
      </c>
      <c r="B27" s="180">
        <f>814.080000000074/AF12</f>
        <v>0.8140800000000741</v>
      </c>
      <c r="C27" s="180">
        <f>733.440000000409/AF12</f>
        <v>0.733440000000409</v>
      </c>
      <c r="D27" s="180">
        <f>619.920000000391/1000</f>
        <v>0.619920000000391</v>
      </c>
      <c r="E27" s="180">
        <f>500.760000000242/1000</f>
        <v>0.500760000000242</v>
      </c>
      <c r="F27" s="180">
        <f>916.56/1000</f>
        <v>0.9165599999999999</v>
      </c>
      <c r="G27" s="187">
        <v>1.10088</v>
      </c>
      <c r="H27" s="187">
        <v>0.016239999999999997</v>
      </c>
      <c r="I27" s="187">
        <f>(0.1291*AC12)/1000</f>
        <v>0.30983999999999995</v>
      </c>
      <c r="J27" s="187">
        <f>(0.0898*AC12)/1000</f>
        <v>0.21552000000000002</v>
      </c>
      <c r="K27" s="187">
        <v>0.15839999999999999</v>
      </c>
      <c r="L27" s="187">
        <v>0.282</v>
      </c>
      <c r="M27" s="182">
        <v>0.2694</v>
      </c>
      <c r="N27" s="182">
        <v>0.6436000000000001</v>
      </c>
      <c r="O27" s="187">
        <v>0.21936000000000003</v>
      </c>
      <c r="P27" s="187">
        <v>0.10447999999999999</v>
      </c>
      <c r="Q27" s="187">
        <v>0.123</v>
      </c>
      <c r="R27" s="187">
        <v>0.2808</v>
      </c>
      <c r="S27" s="187">
        <v>0.11208</v>
      </c>
      <c r="T27" s="187">
        <v>0.019739999999999997</v>
      </c>
      <c r="U27" s="187">
        <v>0.18480000000000002</v>
      </c>
      <c r="V27" s="187">
        <v>0.38189999999999996</v>
      </c>
      <c r="W27" s="188">
        <f t="shared" si="0"/>
        <v>6.442840000001117</v>
      </c>
      <c r="X27" s="182">
        <f t="shared" si="1"/>
        <v>1.5639599999999998</v>
      </c>
      <c r="Y27" s="182"/>
      <c r="Z27" s="146">
        <f t="shared" si="2"/>
        <v>8.006800000001117</v>
      </c>
      <c r="AA27" s="189">
        <v>2.4914899999999998</v>
      </c>
      <c r="AB27" s="327">
        <f t="shared" si="3"/>
        <v>5.515310000001118</v>
      </c>
    </row>
    <row r="28" spans="1:28" ht="15.75">
      <c r="A28" s="329" t="s">
        <v>8</v>
      </c>
      <c r="B28" s="180">
        <f>841.919999999925/AF12</f>
        <v>0.8419199999999251</v>
      </c>
      <c r="C28" s="180">
        <f>745.919999999925/AF12</f>
        <v>0.7459199999999251</v>
      </c>
      <c r="D28" s="180">
        <f>648.720000000204/1000</f>
        <v>0.648720000000204</v>
      </c>
      <c r="E28" s="180">
        <f>538.919999999925/1000</f>
        <v>0.538919999999925</v>
      </c>
      <c r="F28" s="180">
        <f>948.24/1000</f>
        <v>0.94824</v>
      </c>
      <c r="G28" s="187">
        <v>1.1807999999999998</v>
      </c>
      <c r="H28" s="187">
        <v>0.01656</v>
      </c>
      <c r="I28" s="187">
        <f>(AC12*0.1454)/1000</f>
        <v>0.34896</v>
      </c>
      <c r="J28" s="187">
        <f>(0.108*AC12)/1000</f>
        <v>0.2592</v>
      </c>
      <c r="K28" s="187">
        <v>0.159</v>
      </c>
      <c r="L28" s="187">
        <v>0.2994</v>
      </c>
      <c r="M28" s="182">
        <v>0.29960000000000003</v>
      </c>
      <c r="N28" s="182">
        <v>0.6672</v>
      </c>
      <c r="O28" s="187">
        <v>0.22432</v>
      </c>
      <c r="P28" s="187">
        <v>0.10032</v>
      </c>
      <c r="Q28" s="187">
        <v>0.138</v>
      </c>
      <c r="R28" s="187">
        <v>0.2724</v>
      </c>
      <c r="S28" s="187">
        <v>0.09222</v>
      </c>
      <c r="T28" s="187">
        <v>0.01794</v>
      </c>
      <c r="U28" s="187">
        <v>0.174</v>
      </c>
      <c r="V28" s="187">
        <v>0.39089999999999997</v>
      </c>
      <c r="W28" s="188">
        <f t="shared" si="0"/>
        <v>6.740119999999981</v>
      </c>
      <c r="X28" s="182">
        <f t="shared" si="1"/>
        <v>1.6244199999999995</v>
      </c>
      <c r="Y28" s="182"/>
      <c r="Z28" s="146">
        <f t="shared" si="2"/>
        <v>8.36453999999998</v>
      </c>
      <c r="AA28" s="189">
        <v>2.5070499999999996</v>
      </c>
      <c r="AB28" s="327">
        <f t="shared" si="3"/>
        <v>5.857489999999981</v>
      </c>
    </row>
    <row r="29" spans="1:28" ht="15.75">
      <c r="A29" s="329" t="s">
        <v>9</v>
      </c>
      <c r="B29" s="180">
        <f>836.160000000149/1000</f>
        <v>0.836160000000149</v>
      </c>
      <c r="C29" s="180">
        <f>769.920000000391/AF12</f>
        <v>0.7699200000003911</v>
      </c>
      <c r="D29" s="180">
        <f>700.919999999925/1000</f>
        <v>0.700919999999925</v>
      </c>
      <c r="E29" s="180">
        <f>576.359999999869/1000</f>
        <v>0.5763599999998691</v>
      </c>
      <c r="F29" s="180">
        <f>997.92/1000</f>
        <v>0.9979199999999999</v>
      </c>
      <c r="G29" s="187">
        <v>1.25496</v>
      </c>
      <c r="H29" s="187">
        <v>0.018240000000000003</v>
      </c>
      <c r="I29" s="187">
        <f>(AC12*0.1603)/1000</f>
        <v>0.38471999999999995</v>
      </c>
      <c r="J29" s="187">
        <f>(0.1284*AC12)/1000</f>
        <v>0.30816</v>
      </c>
      <c r="K29" s="187">
        <v>0.1596</v>
      </c>
      <c r="L29" s="187">
        <v>0.3252</v>
      </c>
      <c r="M29" s="182">
        <v>0.3256</v>
      </c>
      <c r="N29" s="182">
        <v>0.7123999999999999</v>
      </c>
      <c r="O29" s="187">
        <v>0.22048</v>
      </c>
      <c r="P29" s="187">
        <v>0.10432</v>
      </c>
      <c r="Q29" s="187">
        <v>0.15180000000000002</v>
      </c>
      <c r="R29" s="187">
        <v>0.2844</v>
      </c>
      <c r="S29" s="187">
        <v>0.08316</v>
      </c>
      <c r="T29" s="187">
        <v>0.01776</v>
      </c>
      <c r="U29" s="187">
        <v>0.15630000000000002</v>
      </c>
      <c r="V29" s="187">
        <v>0.345</v>
      </c>
      <c r="W29" s="188">
        <f t="shared" si="0"/>
        <v>7.0952400000003335</v>
      </c>
      <c r="X29" s="182">
        <f t="shared" si="1"/>
        <v>1.63814</v>
      </c>
      <c r="Y29" s="182"/>
      <c r="Z29" s="146">
        <f t="shared" si="2"/>
        <v>8.733380000000334</v>
      </c>
      <c r="AA29" s="189">
        <v>2.48428</v>
      </c>
      <c r="AB29" s="327">
        <f t="shared" si="3"/>
        <v>6.249100000000334</v>
      </c>
    </row>
    <row r="30" spans="1:28" ht="15.75">
      <c r="A30" s="329" t="s">
        <v>10</v>
      </c>
      <c r="B30" s="180">
        <f>837.120000000111/1000</f>
        <v>0.837120000000111</v>
      </c>
      <c r="C30" s="180">
        <f>793.919999999925/AF12</f>
        <v>0.793919999999925</v>
      </c>
      <c r="D30" s="180">
        <f>790.560000000055/1000</f>
        <v>0.790560000000055</v>
      </c>
      <c r="E30" s="180">
        <f>623.520000000018/1000</f>
        <v>0.623520000000018</v>
      </c>
      <c r="F30" s="180">
        <f>1064.88/1000</f>
        <v>1.06488</v>
      </c>
      <c r="G30" s="187">
        <v>1.3384800000000001</v>
      </c>
      <c r="H30" s="187">
        <v>0.017119999999999996</v>
      </c>
      <c r="I30" s="187">
        <f>(AC12*0.1858)/1000</f>
        <v>0.44592</v>
      </c>
      <c r="J30" s="187">
        <f>(0.1411*AC12)/1000</f>
        <v>0.33864</v>
      </c>
      <c r="K30" s="187">
        <v>0.1524</v>
      </c>
      <c r="L30" s="187">
        <v>0.3522</v>
      </c>
      <c r="M30" s="182">
        <v>0.36279999999999996</v>
      </c>
      <c r="N30" s="182">
        <v>0.733</v>
      </c>
      <c r="O30" s="187">
        <v>0.22160000000000002</v>
      </c>
      <c r="P30" s="187">
        <v>0.10543999999999999</v>
      </c>
      <c r="Q30" s="187">
        <v>0.15719999999999998</v>
      </c>
      <c r="R30" s="187">
        <v>0.2886</v>
      </c>
      <c r="S30" s="187">
        <v>0.0828</v>
      </c>
      <c r="T30" s="187">
        <v>0.01776</v>
      </c>
      <c r="U30" s="187">
        <v>0.15030000000000002</v>
      </c>
      <c r="V30" s="187">
        <v>0.33030000000000004</v>
      </c>
      <c r="W30" s="188">
        <f t="shared" si="0"/>
        <v>7.494680000000109</v>
      </c>
      <c r="X30" s="182">
        <f t="shared" si="1"/>
        <v>1.7098799999999998</v>
      </c>
      <c r="Y30" s="182"/>
      <c r="Z30" s="146">
        <f t="shared" si="2"/>
        <v>9.204560000000109</v>
      </c>
      <c r="AA30" s="189">
        <v>2.47398</v>
      </c>
      <c r="AB30" s="327">
        <f t="shared" si="3"/>
        <v>6.730580000000109</v>
      </c>
    </row>
    <row r="31" spans="1:28" ht="15.75">
      <c r="A31" s="329" t="s">
        <v>11</v>
      </c>
      <c r="B31" s="180">
        <f>825.600000000093/AF12</f>
        <v>0.825600000000093</v>
      </c>
      <c r="C31" s="180">
        <f>809.28000000026/AF12</f>
        <v>0.80928000000026</v>
      </c>
      <c r="D31" s="180">
        <f>786.600000000093/1000</f>
        <v>0.786600000000093</v>
      </c>
      <c r="E31" s="180">
        <f>647.28000000026/1000</f>
        <v>0.64728000000026</v>
      </c>
      <c r="F31" s="180">
        <f>1075.68/1000</f>
        <v>1.07568</v>
      </c>
      <c r="G31" s="187">
        <v>1.32048</v>
      </c>
      <c r="H31" s="187">
        <v>0.01808</v>
      </c>
      <c r="I31" s="187">
        <f>(AC12*0.1853)/1000</f>
        <v>0.44471999999999995</v>
      </c>
      <c r="J31" s="187">
        <f>(0.149*AC12)/1000</f>
        <v>0.3576</v>
      </c>
      <c r="K31" s="187">
        <v>0.1566</v>
      </c>
      <c r="L31" s="187">
        <v>0.366</v>
      </c>
      <c r="M31" s="182">
        <v>0.359</v>
      </c>
      <c r="N31" s="182">
        <v>0.746</v>
      </c>
      <c r="O31" s="187">
        <v>0.20448</v>
      </c>
      <c r="P31" s="187">
        <v>0.11120000000000002</v>
      </c>
      <c r="Q31" s="187">
        <v>0.16440000000000002</v>
      </c>
      <c r="R31" s="187">
        <v>0.294</v>
      </c>
      <c r="S31" s="187">
        <v>0.08448</v>
      </c>
      <c r="T31" s="187">
        <v>0.01788</v>
      </c>
      <c r="U31" s="187">
        <v>0.1635</v>
      </c>
      <c r="V31" s="187">
        <v>0.3399</v>
      </c>
      <c r="W31" s="188">
        <f t="shared" si="0"/>
        <v>7.550920000000706</v>
      </c>
      <c r="X31" s="182">
        <f t="shared" si="1"/>
        <v>1.74184</v>
      </c>
      <c r="Y31" s="182"/>
      <c r="Z31" s="146">
        <f t="shared" si="2"/>
        <v>9.292760000000706</v>
      </c>
      <c r="AA31" s="189">
        <v>2.33608</v>
      </c>
      <c r="AB31" s="327">
        <f t="shared" si="3"/>
        <v>6.9566800000007065</v>
      </c>
    </row>
    <row r="32" spans="1:28" ht="15.75">
      <c r="A32" s="329" t="s">
        <v>12</v>
      </c>
      <c r="B32" s="180">
        <f>792.479999999981/AF12</f>
        <v>0.792479999999981</v>
      </c>
      <c r="C32" s="180">
        <f>784.800000000279/AF12</f>
        <v>0.784800000000279</v>
      </c>
      <c r="D32" s="180">
        <f>763.560000000521/1000</f>
        <v>0.7635600000005209</v>
      </c>
      <c r="E32" s="180">
        <f>624.959999999962/1000</f>
        <v>0.624959999999962</v>
      </c>
      <c r="F32" s="180">
        <f>1009.44/1000</f>
        <v>1.0094400000000001</v>
      </c>
      <c r="G32" s="187">
        <v>1.28232</v>
      </c>
      <c r="H32" s="187">
        <v>0.01808</v>
      </c>
      <c r="I32" s="187">
        <f>(0.1742*AC12)/1000</f>
        <v>0.41808</v>
      </c>
      <c r="J32" s="187">
        <f>(0.1416*AC12)/1000</f>
        <v>0.33984000000000003</v>
      </c>
      <c r="K32" s="187">
        <v>0.1482</v>
      </c>
      <c r="L32" s="187">
        <v>0.3564</v>
      </c>
      <c r="M32" s="182">
        <v>0.3458</v>
      </c>
      <c r="N32" s="182">
        <v>0.7266</v>
      </c>
      <c r="O32" s="187">
        <v>0.19152000000000002</v>
      </c>
      <c r="P32" s="187">
        <v>0.064</v>
      </c>
      <c r="Q32" s="187">
        <v>0.171</v>
      </c>
      <c r="R32" s="187">
        <v>0.2988</v>
      </c>
      <c r="S32" s="187">
        <v>0.08256000000000001</v>
      </c>
      <c r="T32" s="187">
        <v>0.01752</v>
      </c>
      <c r="U32" s="187">
        <v>0.1686</v>
      </c>
      <c r="V32" s="187">
        <v>0.30060000000000003</v>
      </c>
      <c r="W32" s="188">
        <f t="shared" si="0"/>
        <v>7.3043600000007425</v>
      </c>
      <c r="X32" s="182">
        <f t="shared" si="1"/>
        <v>1.6008000000000002</v>
      </c>
      <c r="Y32" s="182"/>
      <c r="Z32" s="146">
        <f t="shared" si="2"/>
        <v>8.905160000000743</v>
      </c>
      <c r="AA32" s="189">
        <v>2.0923599999999998</v>
      </c>
      <c r="AB32" s="327">
        <f t="shared" si="3"/>
        <v>6.812800000000744</v>
      </c>
    </row>
    <row r="33" spans="1:28" ht="15.75">
      <c r="A33" s="329" t="s">
        <v>13</v>
      </c>
      <c r="B33" s="180">
        <f>711.840000000316/AF12</f>
        <v>0.711840000000316</v>
      </c>
      <c r="C33" s="180">
        <f>625.919999999925/AF12</f>
        <v>0.6259199999999251</v>
      </c>
      <c r="D33" s="180">
        <f>719.64000000013/1000</f>
        <v>0.7196400000001301</v>
      </c>
      <c r="E33" s="180">
        <f>576.720000000204/1000</f>
        <v>0.576720000000204</v>
      </c>
      <c r="F33" s="180">
        <f>897.12/1000</f>
        <v>0.89712</v>
      </c>
      <c r="G33" s="187">
        <v>1.152</v>
      </c>
      <c r="H33" s="187">
        <v>0.01816</v>
      </c>
      <c r="I33" s="187">
        <f>(0.1591*AC12)/1000</f>
        <v>0.38183999999999996</v>
      </c>
      <c r="J33" s="187">
        <f>(0.115*AC12)/1000</f>
        <v>0.276</v>
      </c>
      <c r="K33" s="187">
        <v>0.1296</v>
      </c>
      <c r="L33" s="187">
        <v>0.3444</v>
      </c>
      <c r="M33" s="182">
        <v>0.3142</v>
      </c>
      <c r="N33" s="182">
        <v>0.6507999999999999</v>
      </c>
      <c r="O33" s="187">
        <v>0.13728</v>
      </c>
      <c r="P33" s="187">
        <v>0.03376</v>
      </c>
      <c r="Q33" s="187">
        <v>0.156</v>
      </c>
      <c r="R33" s="187">
        <v>0.3024</v>
      </c>
      <c r="S33" s="187">
        <v>0.07968</v>
      </c>
      <c r="T33" s="187">
        <v>0.01746</v>
      </c>
      <c r="U33" s="187">
        <v>0.1437</v>
      </c>
      <c r="V33" s="187">
        <v>0.3105</v>
      </c>
      <c r="W33" s="188">
        <f t="shared" si="0"/>
        <v>6.5806400000005745</v>
      </c>
      <c r="X33" s="182">
        <f t="shared" si="1"/>
        <v>1.39838</v>
      </c>
      <c r="Y33" s="182"/>
      <c r="Z33" s="146">
        <f t="shared" si="2"/>
        <v>7.979020000000574</v>
      </c>
      <c r="AA33" s="189">
        <v>1.73075</v>
      </c>
      <c r="AB33" s="327">
        <f t="shared" si="3"/>
        <v>6.2482700000005735</v>
      </c>
    </row>
    <row r="34" spans="1:28" ht="15.75">
      <c r="A34" s="329" t="s">
        <v>14</v>
      </c>
      <c r="B34" s="180">
        <f>649.439999999944/AF12</f>
        <v>0.6494399999999441</v>
      </c>
      <c r="C34" s="180">
        <f>499.680000000167/AF12</f>
        <v>0.499680000000167</v>
      </c>
      <c r="D34" s="180">
        <f>622.08000000054/1000</f>
        <v>0.6220800000005401</v>
      </c>
      <c r="E34" s="180">
        <f>497.520000000018/1000</f>
        <v>0.497520000000018</v>
      </c>
      <c r="F34" s="180">
        <f>734.4/1000</f>
        <v>0.7343999999999999</v>
      </c>
      <c r="G34" s="187">
        <v>0.9792000000000001</v>
      </c>
      <c r="H34" s="187">
        <v>0.01768</v>
      </c>
      <c r="I34" s="187">
        <f>(0.1308*AC12)/1000</f>
        <v>0.31392000000000003</v>
      </c>
      <c r="J34" s="187">
        <f>(0.1015*AC12)/1000</f>
        <v>0.2436</v>
      </c>
      <c r="K34" s="187">
        <v>0.10379999999999999</v>
      </c>
      <c r="L34" s="187">
        <v>0.30479999999999996</v>
      </c>
      <c r="M34" s="182">
        <v>0.26539999999999997</v>
      </c>
      <c r="N34" s="182">
        <v>0.5532</v>
      </c>
      <c r="O34" s="187">
        <v>0.11792</v>
      </c>
      <c r="P34" s="187">
        <v>0.033600000000000005</v>
      </c>
      <c r="Q34" s="187">
        <v>0.1368</v>
      </c>
      <c r="R34" s="187">
        <v>0.2358</v>
      </c>
      <c r="S34" s="187">
        <v>0.08256000000000001</v>
      </c>
      <c r="T34" s="187">
        <v>0.01668</v>
      </c>
      <c r="U34" s="187">
        <v>0.1191</v>
      </c>
      <c r="V34" s="187">
        <v>0.306</v>
      </c>
      <c r="W34" s="188">
        <f t="shared" si="0"/>
        <v>5.5821200000006685</v>
      </c>
      <c r="X34" s="182">
        <f t="shared" si="1"/>
        <v>1.2510599999999998</v>
      </c>
      <c r="Y34" s="182"/>
      <c r="Z34" s="146">
        <f t="shared" si="2"/>
        <v>6.833180000000668</v>
      </c>
      <c r="AA34" s="189">
        <v>1.49212</v>
      </c>
      <c r="AB34" s="327">
        <f t="shared" si="3"/>
        <v>5.3410600000006685</v>
      </c>
    </row>
    <row r="35" spans="1:28" ht="15.75">
      <c r="A35" s="329" t="s">
        <v>15</v>
      </c>
      <c r="B35" s="180">
        <f>585.600000000093/AF12</f>
        <v>0.585600000000093</v>
      </c>
      <c r="C35" s="180">
        <f>376.320000000065/AF12</f>
        <v>0.37632000000006505</v>
      </c>
      <c r="D35" s="180">
        <f>536.400000000372/1000</f>
        <v>0.5364000000003719</v>
      </c>
      <c r="E35" s="180">
        <f>420.480000000214/1000</f>
        <v>0.42048000000021396</v>
      </c>
      <c r="F35" s="180">
        <f>597.6/1000</f>
        <v>0.5976</v>
      </c>
      <c r="G35" s="187">
        <v>0.77904</v>
      </c>
      <c r="H35" s="187">
        <v>0.01792</v>
      </c>
      <c r="I35" s="187">
        <f>(0.0874*AC12)/1000</f>
        <v>0.20976000000000003</v>
      </c>
      <c r="J35" s="187">
        <f>(0.0694*AC12)/1000</f>
        <v>0.16656</v>
      </c>
      <c r="K35" s="187">
        <v>0.081</v>
      </c>
      <c r="L35" s="187">
        <v>0.2442</v>
      </c>
      <c r="M35" s="182">
        <v>0.22419999999999998</v>
      </c>
      <c r="N35" s="182">
        <v>0.43720000000000003</v>
      </c>
      <c r="O35" s="187">
        <v>0.11392000000000001</v>
      </c>
      <c r="P35" s="187">
        <v>0.02368</v>
      </c>
      <c r="Q35" s="187">
        <v>0.105</v>
      </c>
      <c r="R35" s="187">
        <v>0.21180000000000002</v>
      </c>
      <c r="S35" s="187">
        <v>0.08009999999999999</v>
      </c>
      <c r="T35" s="187">
        <v>0.01632</v>
      </c>
      <c r="U35" s="187">
        <v>0.1263</v>
      </c>
      <c r="V35" s="187">
        <v>0.2385</v>
      </c>
      <c r="W35" s="188">
        <f t="shared" si="0"/>
        <v>4.598840000000744</v>
      </c>
      <c r="X35" s="182">
        <f t="shared" si="1"/>
        <v>0.9930600000000002</v>
      </c>
      <c r="Y35" s="182"/>
      <c r="Z35" s="146">
        <f t="shared" si="2"/>
        <v>5.591900000000744</v>
      </c>
      <c r="AA35" s="189">
        <v>1.2564799999999998</v>
      </c>
      <c r="AB35" s="327">
        <f t="shared" si="3"/>
        <v>4.335420000000744</v>
      </c>
    </row>
    <row r="36" spans="1:29" ht="104.25" customHeight="1">
      <c r="A36" s="329" t="s">
        <v>135</v>
      </c>
      <c r="B36" s="183">
        <f>SUM(B12:B35)</f>
        <v>17.14032000000052</v>
      </c>
      <c r="C36" s="183">
        <f aca="true" t="shared" si="4" ref="C36:I36">SUM(C12:C35)</f>
        <v>13.788960000001117</v>
      </c>
      <c r="D36" s="183">
        <f t="shared" si="4"/>
        <v>13.71636000000591</v>
      </c>
      <c r="E36" s="183">
        <f t="shared" si="4"/>
        <v>11.11932000000215</v>
      </c>
      <c r="F36" s="183">
        <f t="shared" si="4"/>
        <v>18.415440000000004</v>
      </c>
      <c r="G36" s="183">
        <f t="shared" si="4"/>
        <v>22.494239999999994</v>
      </c>
      <c r="H36" s="183">
        <f t="shared" si="4"/>
        <v>0.4302399999999999</v>
      </c>
      <c r="I36" s="183">
        <f t="shared" si="4"/>
        <v>6.7682400000000005</v>
      </c>
      <c r="J36" s="183">
        <f aca="true" t="shared" si="5" ref="J36:P36">SUM(J12:J35)</f>
        <v>5.042639999999999</v>
      </c>
      <c r="K36" s="183">
        <f t="shared" si="5"/>
        <v>2.85</v>
      </c>
      <c r="L36" s="184">
        <f t="shared" si="5"/>
        <v>6.185999999999999</v>
      </c>
      <c r="M36" s="183">
        <f t="shared" si="5"/>
        <v>6.023199999999998</v>
      </c>
      <c r="N36" s="183">
        <f>C15:N36=SUM(N12:N35)</f>
        <v>0</v>
      </c>
      <c r="O36" s="184">
        <f t="shared" si="5"/>
        <v>3.70288</v>
      </c>
      <c r="P36" s="184">
        <f t="shared" si="5"/>
        <v>1.44496</v>
      </c>
      <c r="Q36" s="183">
        <f aca="true" t="shared" si="6" ref="Q36:X36">SUM(Q12:Q35)</f>
        <v>2.7863999999999995</v>
      </c>
      <c r="R36" s="183">
        <f t="shared" si="6"/>
        <v>5.989199999999999</v>
      </c>
      <c r="S36" s="183">
        <f t="shared" si="6"/>
        <v>2.1195</v>
      </c>
      <c r="T36" s="183">
        <f t="shared" si="6"/>
        <v>0.46572</v>
      </c>
      <c r="U36" s="183">
        <f t="shared" si="6"/>
        <v>4.0599</v>
      </c>
      <c r="V36" s="183">
        <f t="shared" si="6"/>
        <v>8.4363</v>
      </c>
      <c r="W36" s="183">
        <f t="shared" si="6"/>
        <v>133.68524000000968</v>
      </c>
      <c r="X36" s="183">
        <f t="shared" si="6"/>
        <v>32.47038</v>
      </c>
      <c r="Y36" s="183"/>
      <c r="Z36" s="145">
        <f>SUM(Z12:Z35)</f>
        <v>166.1556200000097</v>
      </c>
      <c r="AA36" s="190">
        <v>44.71334000000001</v>
      </c>
      <c r="AB36" s="330">
        <f t="shared" si="3"/>
        <v>121.44228000000967</v>
      </c>
      <c r="AC36" s="148"/>
    </row>
    <row r="37" spans="1:28" ht="15.7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7"/>
      <c r="X37" s="140"/>
      <c r="Y37" s="140"/>
      <c r="Z37" s="147"/>
      <c r="AA37" s="140"/>
      <c r="AB37" s="186"/>
    </row>
    <row r="38" spans="1:28" ht="15.75">
      <c r="A38" s="126" t="s">
        <v>202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7"/>
      <c r="AA38" s="140"/>
      <c r="AB38" s="141"/>
    </row>
    <row r="39" spans="1:28" ht="15.75" thickBot="1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5"/>
    </row>
    <row r="43" ht="15">
      <c r="I43">
        <v>1000</v>
      </c>
    </row>
  </sheetData>
  <sheetProtection/>
  <mergeCells count="34">
    <mergeCell ref="S3:S9"/>
    <mergeCell ref="T3:T9"/>
    <mergeCell ref="U3:U9"/>
    <mergeCell ref="V3:V9"/>
    <mergeCell ref="M3:M9"/>
    <mergeCell ref="N3:N9"/>
    <mergeCell ref="O3:O9"/>
    <mergeCell ref="P3:P9"/>
    <mergeCell ref="Q3:Q9"/>
    <mergeCell ref="R3:R9"/>
    <mergeCell ref="W3:Y4"/>
    <mergeCell ref="Z3:Z5"/>
    <mergeCell ref="AA3:AA9"/>
    <mergeCell ref="AB3:AB9"/>
    <mergeCell ref="W5:W9"/>
    <mergeCell ref="X5:X9"/>
    <mergeCell ref="Y5:Y9"/>
    <mergeCell ref="Z8:Z9"/>
    <mergeCell ref="G3:G9"/>
    <mergeCell ref="H3:H9"/>
    <mergeCell ref="I3:I9"/>
    <mergeCell ref="J3:J9"/>
    <mergeCell ref="K3:K9"/>
    <mergeCell ref="L3:L9"/>
    <mergeCell ref="A1:AB1"/>
    <mergeCell ref="A2:B2"/>
    <mergeCell ref="C2:J2"/>
    <mergeCell ref="L2:AB2"/>
    <mergeCell ref="A3:A9"/>
    <mergeCell ref="B3:B9"/>
    <mergeCell ref="C3:C9"/>
    <mergeCell ref="D3:D9"/>
    <mergeCell ref="E3:E9"/>
    <mergeCell ref="F3:F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zoomScaleSheetLayoutView="75" zoomScalePageLayoutView="0" workbookViewId="0" topLeftCell="C9">
      <selection activeCell="C1" sqref="A1:AF23"/>
    </sheetView>
  </sheetViews>
  <sheetFormatPr defaultColWidth="9.140625" defaultRowHeight="15"/>
  <cols>
    <col min="1" max="1" width="7.8515625" style="9" customWidth="1"/>
    <col min="2" max="2" width="25.00390625" style="9" customWidth="1"/>
    <col min="3" max="3" width="13.7109375" style="9" customWidth="1"/>
    <col min="4" max="4" width="13.8515625" style="9" customWidth="1"/>
    <col min="5" max="5" width="10.8515625" style="9" customWidth="1"/>
    <col min="6" max="6" width="12.421875" style="9" customWidth="1"/>
    <col min="7" max="7" width="14.140625" style="9" customWidth="1"/>
    <col min="8" max="8" width="15.28125" style="9" customWidth="1"/>
    <col min="9" max="9" width="7.00390625" style="9" customWidth="1"/>
    <col min="10" max="10" width="6.28125" style="9" customWidth="1"/>
    <col min="11" max="11" width="6.00390625" style="9" customWidth="1"/>
    <col min="12" max="13" width="5.7109375" style="9" customWidth="1"/>
    <col min="14" max="14" width="5.8515625" style="9" customWidth="1"/>
    <col min="15" max="15" width="5.421875" style="9" customWidth="1"/>
    <col min="16" max="16" width="6.421875" style="9" customWidth="1"/>
    <col min="17" max="17" width="6.140625" style="9" customWidth="1"/>
    <col min="18" max="18" width="6.421875" style="9" customWidth="1"/>
    <col min="19" max="19" width="7.28125" style="9" customWidth="1"/>
    <col min="20" max="21" width="6.7109375" style="9" customWidth="1"/>
    <col min="22" max="22" width="7.28125" style="9" customWidth="1"/>
    <col min="23" max="30" width="7.421875" style="9" customWidth="1"/>
    <col min="31" max="31" width="7.57421875" style="9" customWidth="1"/>
    <col min="32" max="32" width="7.140625" style="9" customWidth="1"/>
    <col min="33" max="16384" width="9.140625" style="9" customWidth="1"/>
  </cols>
  <sheetData>
    <row r="1" spans="3:32" ht="38.25" customHeight="1">
      <c r="C1" s="249" t="s">
        <v>99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</row>
    <row r="2" spans="3:20" ht="11.2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"/>
      <c r="P2" s="8"/>
      <c r="Q2" s="22"/>
      <c r="R2" s="12"/>
      <c r="S2" s="8"/>
      <c r="T2" s="8"/>
    </row>
    <row r="3" spans="3:35" s="55" customFormat="1" ht="41.25" customHeight="1">
      <c r="C3" s="49" t="s">
        <v>207</v>
      </c>
      <c r="D3" s="50"/>
      <c r="E3" s="51"/>
      <c r="F3" s="52"/>
      <c r="G3" s="52"/>
      <c r="H3" s="53"/>
      <c r="I3" s="53"/>
      <c r="J3" s="53"/>
      <c r="K3" s="53"/>
      <c r="L3" s="54"/>
      <c r="M3" s="53"/>
      <c r="N3" s="53"/>
      <c r="O3" s="53"/>
      <c r="P3" s="53"/>
      <c r="Q3" s="53"/>
      <c r="R3" s="53"/>
      <c r="S3" s="53"/>
      <c r="T3" s="49"/>
      <c r="V3" s="340" t="s">
        <v>206</v>
      </c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39"/>
      <c r="AH3" s="339"/>
      <c r="AI3" s="339"/>
    </row>
    <row r="4" spans="3:22" ht="40.5" customHeight="1" thickBot="1">
      <c r="C4" s="48" t="s">
        <v>113</v>
      </c>
      <c r="D4" s="11"/>
      <c r="E4" s="11"/>
      <c r="F4" s="11"/>
      <c r="G4" s="11"/>
      <c r="H4" s="11"/>
      <c r="I4" s="11"/>
      <c r="J4" s="8"/>
      <c r="K4" s="8"/>
      <c r="L4" s="8"/>
      <c r="M4" s="11"/>
      <c r="N4" s="11"/>
      <c r="O4" s="8"/>
      <c r="P4" s="8"/>
      <c r="Q4" s="8"/>
      <c r="R4" s="8"/>
      <c r="S4" s="8"/>
      <c r="T4" s="8"/>
      <c r="V4" s="54" t="s">
        <v>112</v>
      </c>
    </row>
    <row r="5" spans="1:32" ht="48" customHeight="1" thickBot="1">
      <c r="A5" s="240" t="s">
        <v>114</v>
      </c>
      <c r="B5" s="250"/>
      <c r="C5" s="250"/>
      <c r="D5" s="250"/>
      <c r="E5" s="250"/>
      <c r="F5" s="250"/>
      <c r="G5" s="250"/>
      <c r="H5" s="251"/>
      <c r="I5" s="252" t="s">
        <v>56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4"/>
    </row>
    <row r="6" spans="1:32" ht="83.25" customHeight="1" thickBot="1">
      <c r="A6" s="131" t="s">
        <v>106</v>
      </c>
      <c r="B6" s="131" t="s">
        <v>107</v>
      </c>
      <c r="C6" s="255" t="s">
        <v>73</v>
      </c>
      <c r="D6" s="256"/>
      <c r="E6" s="255" t="s">
        <v>68</v>
      </c>
      <c r="F6" s="257"/>
      <c r="G6" s="302" t="s">
        <v>67</v>
      </c>
      <c r="H6" s="303" t="s">
        <v>97</v>
      </c>
      <c r="I6" s="57" t="s">
        <v>74</v>
      </c>
      <c r="J6" s="58" t="s">
        <v>75</v>
      </c>
      <c r="K6" s="58" t="s">
        <v>69</v>
      </c>
      <c r="L6" s="58" t="s">
        <v>76</v>
      </c>
      <c r="M6" s="59" t="s">
        <v>77</v>
      </c>
      <c r="N6" s="58" t="s">
        <v>78</v>
      </c>
      <c r="O6" s="58" t="s">
        <v>79</v>
      </c>
      <c r="P6" s="58" t="s">
        <v>80</v>
      </c>
      <c r="Q6" s="58" t="s">
        <v>70</v>
      </c>
      <c r="R6" s="58" t="s">
        <v>81</v>
      </c>
      <c r="S6" s="58" t="s">
        <v>82</v>
      </c>
      <c r="T6" s="58" t="s">
        <v>83</v>
      </c>
      <c r="U6" s="58" t="s">
        <v>84</v>
      </c>
      <c r="V6" s="58" t="s">
        <v>85</v>
      </c>
      <c r="W6" s="58" t="s">
        <v>86</v>
      </c>
      <c r="X6" s="58" t="s">
        <v>87</v>
      </c>
      <c r="Y6" s="58" t="s">
        <v>88</v>
      </c>
      <c r="Z6" s="58" t="s">
        <v>71</v>
      </c>
      <c r="AA6" s="58" t="s">
        <v>89</v>
      </c>
      <c r="AB6" s="58" t="s">
        <v>90</v>
      </c>
      <c r="AC6" s="58" t="s">
        <v>91</v>
      </c>
      <c r="AD6" s="58" t="s">
        <v>92</v>
      </c>
      <c r="AE6" s="58" t="s">
        <v>93</v>
      </c>
      <c r="AF6" s="60" t="s">
        <v>94</v>
      </c>
    </row>
    <row r="7" spans="1:32" ht="33.75" customHeight="1">
      <c r="A7" s="132">
        <v>1</v>
      </c>
      <c r="B7" s="176" t="s">
        <v>191</v>
      </c>
      <c r="C7" s="258" t="s">
        <v>192</v>
      </c>
      <c r="D7" s="259"/>
      <c r="E7" s="260"/>
      <c r="F7" s="258"/>
      <c r="G7" s="161">
        <v>4</v>
      </c>
      <c r="H7" s="132">
        <v>20</v>
      </c>
      <c r="I7" s="162">
        <f>'табл2 субаб и сторонние'!K9</f>
        <v>0.38975</v>
      </c>
      <c r="J7" s="163">
        <f>'табл2 субаб и сторонние'!K10</f>
        <v>0.39275</v>
      </c>
      <c r="K7" s="163">
        <f>'табл2 субаб и сторонние'!K11</f>
        <v>0.40149999999999997</v>
      </c>
      <c r="L7" s="163">
        <f>'табл2 субаб и сторонние'!K12</f>
        <v>0.40825</v>
      </c>
      <c r="M7" s="163">
        <f>'табл2 субаб и сторонние'!K13</f>
        <v>0.4145</v>
      </c>
      <c r="N7" s="164">
        <f>'табл2 субаб и сторонние'!K14</f>
        <v>0.40525</v>
      </c>
      <c r="O7" s="164">
        <f>'табл2 субаб и сторонние'!K15</f>
        <v>0.5085</v>
      </c>
      <c r="P7" s="164">
        <f>'табл2 субаб и сторонние'!K16</f>
        <v>0.57125</v>
      </c>
      <c r="Q7" s="164">
        <f>'табл2 субаб и сторонние'!K17</f>
        <v>0.659</v>
      </c>
      <c r="R7" s="164">
        <f>'табл2 субаб и сторонние'!K18</f>
        <v>0.75275</v>
      </c>
      <c r="S7" s="164">
        <f>'табл2 субаб и сторонние'!K19</f>
        <v>0.813</v>
      </c>
      <c r="T7" s="164">
        <f>'табл2 субаб и сторонние'!K20</f>
        <v>0.81575</v>
      </c>
      <c r="U7" s="164">
        <f>'табл2 субаб и сторонние'!K21</f>
        <v>0.7929999999999999</v>
      </c>
      <c r="V7" s="164">
        <f>'табл2 субаб и сторонние'!K22</f>
        <v>0.7902499999999999</v>
      </c>
      <c r="W7" s="164">
        <f>'табл2 субаб и сторонние'!K23</f>
        <v>0.7602499999999999</v>
      </c>
      <c r="X7" s="164">
        <f>'табл2 субаб и сторонние'!K24</f>
        <v>0.76025</v>
      </c>
      <c r="Y7" s="164">
        <f>'табл2 субаб и сторонние'!K25</f>
        <v>0.7702500000000001</v>
      </c>
      <c r="Z7" s="164">
        <f>'табл2 субаб и сторонние'!K26</f>
        <v>0.7440000000000001</v>
      </c>
      <c r="AA7" s="164">
        <f>'табл2 субаб и сторонние'!K27</f>
        <v>0.7355</v>
      </c>
      <c r="AB7" s="164">
        <f>'табл2 субаб и сторонние'!K28</f>
        <v>0.737</v>
      </c>
      <c r="AC7" s="164">
        <f>'табл2 субаб и сторонние'!K29</f>
        <v>0.712</v>
      </c>
      <c r="AD7" s="164">
        <f>'табл2 субаб и сторонние'!K30</f>
        <v>0.58975</v>
      </c>
      <c r="AE7" s="164">
        <f>'табл2 субаб и сторонние'!K31</f>
        <v>0.516</v>
      </c>
      <c r="AF7" s="165">
        <f>'табл2 субаб и сторонние'!K32</f>
        <v>0.432</v>
      </c>
    </row>
    <row r="8" spans="1:32" ht="33" customHeight="1">
      <c r="A8" s="133">
        <v>2</v>
      </c>
      <c r="B8" s="177"/>
      <c r="C8" s="243"/>
      <c r="D8" s="244"/>
      <c r="E8" s="245"/>
      <c r="F8" s="243"/>
      <c r="G8" s="166"/>
      <c r="H8" s="178"/>
      <c r="I8" s="167"/>
      <c r="J8" s="168"/>
      <c r="K8" s="168"/>
      <c r="L8" s="168"/>
      <c r="M8" s="168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70"/>
    </row>
    <row r="9" spans="1:32" ht="32.25" customHeight="1">
      <c r="A9" s="133">
        <v>3</v>
      </c>
      <c r="B9" s="177"/>
      <c r="C9" s="243"/>
      <c r="D9" s="244"/>
      <c r="E9" s="245"/>
      <c r="F9" s="243"/>
      <c r="G9" s="166"/>
      <c r="H9" s="178"/>
      <c r="I9" s="167"/>
      <c r="J9" s="168"/>
      <c r="K9" s="168"/>
      <c r="L9" s="168"/>
      <c r="M9" s="168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70"/>
    </row>
    <row r="10" spans="1:32" ht="29.25" customHeight="1">
      <c r="A10" s="133">
        <v>4</v>
      </c>
      <c r="B10" s="177"/>
      <c r="C10" s="243"/>
      <c r="D10" s="244"/>
      <c r="E10" s="245"/>
      <c r="F10" s="243"/>
      <c r="G10" s="166"/>
      <c r="H10" s="178"/>
      <c r="I10" s="167"/>
      <c r="J10" s="168"/>
      <c r="K10" s="168"/>
      <c r="L10" s="168"/>
      <c r="M10" s="168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70"/>
    </row>
    <row r="11" spans="1:32" ht="33.75" customHeight="1">
      <c r="A11" s="133">
        <v>5</v>
      </c>
      <c r="B11" s="177"/>
      <c r="C11" s="243"/>
      <c r="D11" s="244"/>
      <c r="E11" s="245"/>
      <c r="F11" s="243"/>
      <c r="G11" s="166"/>
      <c r="H11" s="178"/>
      <c r="I11" s="167"/>
      <c r="J11" s="168"/>
      <c r="K11" s="168"/>
      <c r="L11" s="168"/>
      <c r="M11" s="168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70"/>
    </row>
    <row r="12" spans="1:32" ht="35.25" customHeight="1">
      <c r="A12" s="133">
        <v>6</v>
      </c>
      <c r="B12" s="177"/>
      <c r="C12" s="243"/>
      <c r="D12" s="244"/>
      <c r="E12" s="245"/>
      <c r="F12" s="243"/>
      <c r="G12" s="166"/>
      <c r="H12" s="178"/>
      <c r="I12" s="167"/>
      <c r="J12" s="168"/>
      <c r="K12" s="168"/>
      <c r="L12" s="168"/>
      <c r="M12" s="168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70"/>
    </row>
    <row r="13" spans="1:32" ht="36" customHeight="1" thickBot="1">
      <c r="A13" s="134">
        <v>7</v>
      </c>
      <c r="B13" s="179"/>
      <c r="C13" s="246"/>
      <c r="D13" s="247"/>
      <c r="E13" s="248"/>
      <c r="F13" s="246"/>
      <c r="G13" s="171"/>
      <c r="H13" s="179"/>
      <c r="I13" s="172"/>
      <c r="J13" s="173"/>
      <c r="K13" s="173"/>
      <c r="L13" s="173"/>
      <c r="M13" s="173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5"/>
    </row>
    <row r="14" spans="3:20" ht="58.5" customHeight="1" thickBot="1">
      <c r="C14" s="61" t="s">
        <v>115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8"/>
      <c r="Q14" s="8"/>
      <c r="R14" s="8"/>
      <c r="S14" s="8"/>
      <c r="T14" s="8"/>
    </row>
    <row r="15" spans="2:43" ht="23.25" customHeight="1" thickBot="1">
      <c r="B15" s="234" t="s">
        <v>106</v>
      </c>
      <c r="C15" s="304" t="s">
        <v>101</v>
      </c>
      <c r="D15" s="305"/>
      <c r="E15" s="236" t="s">
        <v>38</v>
      </c>
      <c r="F15" s="237"/>
      <c r="G15" s="237"/>
      <c r="H15" s="237"/>
      <c r="I15" s="237"/>
      <c r="J15" s="237"/>
      <c r="K15" s="237"/>
      <c r="L15" s="237"/>
      <c r="M15" s="239" t="s">
        <v>39</v>
      </c>
      <c r="N15" s="237"/>
      <c r="O15" s="237"/>
      <c r="P15" s="237"/>
      <c r="Q15" s="237"/>
      <c r="R15" s="237"/>
      <c r="S15" s="240" t="s">
        <v>56</v>
      </c>
      <c r="T15" s="241"/>
      <c r="U15" s="241"/>
      <c r="V15" s="241"/>
      <c r="W15" s="241"/>
      <c r="X15" s="242"/>
      <c r="Y15" s="114"/>
      <c r="Z15" s="128"/>
      <c r="AC15" s="92"/>
      <c r="AD15" s="127"/>
      <c r="AE15" s="127"/>
      <c r="AF15" s="67"/>
      <c r="AG15" s="193"/>
      <c r="AH15" s="193"/>
      <c r="AI15" s="193"/>
      <c r="AJ15" s="193"/>
      <c r="AK15" s="193"/>
      <c r="AL15" s="228"/>
      <c r="AM15" s="229"/>
      <c r="AN15" s="229"/>
      <c r="AO15" s="229"/>
      <c r="AP15" s="229"/>
      <c r="AQ15" s="229"/>
    </row>
    <row r="16" spans="2:43" ht="24.75" customHeight="1" thickBot="1">
      <c r="B16" s="235"/>
      <c r="C16" s="306" t="s">
        <v>102</v>
      </c>
      <c r="D16" s="307" t="s">
        <v>103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0" t="s">
        <v>69</v>
      </c>
      <c r="T16" s="231"/>
      <c r="U16" s="230" t="s">
        <v>70</v>
      </c>
      <c r="V16" s="231"/>
      <c r="W16" s="230" t="s">
        <v>71</v>
      </c>
      <c r="X16" s="231"/>
      <c r="Y16" s="115"/>
      <c r="Z16" s="129"/>
      <c r="AC16" s="127"/>
      <c r="AD16" s="127"/>
      <c r="AE16" s="127"/>
      <c r="AF16" s="193"/>
      <c r="AG16" s="193"/>
      <c r="AH16" s="193"/>
      <c r="AI16" s="193"/>
      <c r="AJ16" s="193"/>
      <c r="AK16" s="193"/>
      <c r="AL16" s="232"/>
      <c r="AM16" s="233"/>
      <c r="AN16" s="232"/>
      <c r="AO16" s="233"/>
      <c r="AP16" s="232"/>
      <c r="AQ16" s="233"/>
    </row>
    <row r="17" spans="2:43" ht="32.25" customHeight="1">
      <c r="B17" s="135">
        <v>1</v>
      </c>
      <c r="C17" s="62"/>
      <c r="D17" s="64"/>
      <c r="E17" s="93"/>
      <c r="F17" s="94"/>
      <c r="G17" s="94"/>
      <c r="H17" s="94"/>
      <c r="I17" s="94"/>
      <c r="J17" s="95"/>
      <c r="K17" s="95"/>
      <c r="L17" s="96"/>
      <c r="M17" s="97"/>
      <c r="N17" s="98"/>
      <c r="O17" s="98"/>
      <c r="P17" s="98"/>
      <c r="Q17" s="98"/>
      <c r="R17" s="99"/>
      <c r="S17" s="226"/>
      <c r="T17" s="227"/>
      <c r="U17" s="226"/>
      <c r="V17" s="227"/>
      <c r="W17" s="226"/>
      <c r="X17" s="227"/>
      <c r="Y17" s="116"/>
      <c r="Z17" s="23"/>
      <c r="AC17" s="63"/>
      <c r="AD17" s="63"/>
      <c r="AE17" s="63"/>
      <c r="AF17" s="56"/>
      <c r="AG17" s="23"/>
      <c r="AH17" s="23"/>
      <c r="AI17" s="23"/>
      <c r="AJ17" s="23"/>
      <c r="AK17" s="23"/>
      <c r="AL17" s="220"/>
      <c r="AM17" s="220"/>
      <c r="AN17" s="220"/>
      <c r="AO17" s="220"/>
      <c r="AP17" s="220"/>
      <c r="AQ17" s="220"/>
    </row>
    <row r="18" spans="2:43" ht="30.75" customHeight="1">
      <c r="B18" s="136">
        <v>2</v>
      </c>
      <c r="C18" s="14"/>
      <c r="D18" s="65"/>
      <c r="E18" s="100"/>
      <c r="F18" s="101"/>
      <c r="G18" s="101"/>
      <c r="H18" s="101"/>
      <c r="I18" s="101"/>
      <c r="J18" s="102"/>
      <c r="K18" s="102"/>
      <c r="L18" s="103"/>
      <c r="M18" s="104"/>
      <c r="N18" s="105"/>
      <c r="O18" s="105"/>
      <c r="P18" s="105"/>
      <c r="Q18" s="105"/>
      <c r="R18" s="106"/>
      <c r="S18" s="224"/>
      <c r="T18" s="225"/>
      <c r="U18" s="224"/>
      <c r="V18" s="225"/>
      <c r="W18" s="224"/>
      <c r="X18" s="225"/>
      <c r="Y18" s="116"/>
      <c r="Z18" s="23"/>
      <c r="AC18" s="63"/>
      <c r="AD18" s="63"/>
      <c r="AE18" s="63"/>
      <c r="AF18" s="56"/>
      <c r="AG18" s="23"/>
      <c r="AH18" s="23"/>
      <c r="AI18" s="23"/>
      <c r="AJ18" s="23"/>
      <c r="AK18" s="23"/>
      <c r="AL18" s="220"/>
      <c r="AM18" s="220"/>
      <c r="AN18" s="220"/>
      <c r="AO18" s="220"/>
      <c r="AP18" s="220"/>
      <c r="AQ18" s="220"/>
    </row>
    <row r="19" spans="2:43" ht="35.25" customHeight="1">
      <c r="B19" s="136">
        <v>3</v>
      </c>
      <c r="C19" s="14"/>
      <c r="D19" s="65"/>
      <c r="E19" s="100"/>
      <c r="F19" s="101"/>
      <c r="G19" s="101"/>
      <c r="H19" s="101"/>
      <c r="I19" s="101"/>
      <c r="J19" s="102"/>
      <c r="K19" s="102"/>
      <c r="L19" s="103"/>
      <c r="M19" s="104"/>
      <c r="N19" s="105"/>
      <c r="O19" s="105"/>
      <c r="P19" s="105"/>
      <c r="Q19" s="105"/>
      <c r="R19" s="106"/>
      <c r="S19" s="224"/>
      <c r="T19" s="225"/>
      <c r="U19" s="224"/>
      <c r="V19" s="225"/>
      <c r="W19" s="224"/>
      <c r="X19" s="225"/>
      <c r="Y19" s="116"/>
      <c r="Z19" s="23"/>
      <c r="AC19" s="63"/>
      <c r="AD19" s="63"/>
      <c r="AE19" s="63"/>
      <c r="AF19" s="56"/>
      <c r="AG19" s="23"/>
      <c r="AH19" s="23"/>
      <c r="AI19" s="23"/>
      <c r="AJ19" s="23"/>
      <c r="AK19" s="23"/>
      <c r="AL19" s="220"/>
      <c r="AM19" s="220"/>
      <c r="AN19" s="220"/>
      <c r="AO19" s="220"/>
      <c r="AP19" s="220"/>
      <c r="AQ19" s="220"/>
    </row>
    <row r="20" spans="2:43" ht="31.5" customHeight="1">
      <c r="B20" s="136">
        <v>4</v>
      </c>
      <c r="C20" s="14"/>
      <c r="D20" s="65"/>
      <c r="E20" s="100"/>
      <c r="F20" s="101"/>
      <c r="G20" s="101"/>
      <c r="H20" s="101"/>
      <c r="I20" s="101"/>
      <c r="J20" s="102"/>
      <c r="K20" s="102"/>
      <c r="L20" s="103"/>
      <c r="M20" s="104"/>
      <c r="N20" s="105"/>
      <c r="O20" s="105"/>
      <c r="P20" s="105"/>
      <c r="Q20" s="105"/>
      <c r="R20" s="106"/>
      <c r="S20" s="224"/>
      <c r="T20" s="225"/>
      <c r="U20" s="224"/>
      <c r="V20" s="225"/>
      <c r="W20" s="224"/>
      <c r="X20" s="225"/>
      <c r="Y20" s="116"/>
      <c r="Z20" s="23"/>
      <c r="AC20" s="63"/>
      <c r="AD20" s="63"/>
      <c r="AE20" s="63"/>
      <c r="AF20" s="56"/>
      <c r="AG20" s="23"/>
      <c r="AH20" s="23"/>
      <c r="AI20" s="23"/>
      <c r="AJ20" s="23"/>
      <c r="AK20" s="23"/>
      <c r="AL20" s="220"/>
      <c r="AM20" s="220"/>
      <c r="AN20" s="220"/>
      <c r="AO20" s="220"/>
      <c r="AP20" s="220"/>
      <c r="AQ20" s="220"/>
    </row>
    <row r="21" spans="2:43" ht="33.75" customHeight="1">
      <c r="B21" s="136">
        <v>5</v>
      </c>
      <c r="C21" s="14"/>
      <c r="D21" s="65"/>
      <c r="E21" s="100"/>
      <c r="F21" s="101"/>
      <c r="G21" s="101"/>
      <c r="H21" s="101"/>
      <c r="I21" s="101"/>
      <c r="J21" s="102"/>
      <c r="K21" s="102"/>
      <c r="L21" s="103"/>
      <c r="M21" s="104"/>
      <c r="N21" s="105"/>
      <c r="O21" s="105"/>
      <c r="P21" s="105"/>
      <c r="Q21" s="105"/>
      <c r="R21" s="106"/>
      <c r="S21" s="224"/>
      <c r="T21" s="225"/>
      <c r="U21" s="224"/>
      <c r="V21" s="225"/>
      <c r="W21" s="224"/>
      <c r="X21" s="225"/>
      <c r="Y21" s="116"/>
      <c r="Z21" s="23"/>
      <c r="AC21" s="63"/>
      <c r="AD21" s="63"/>
      <c r="AE21" s="63"/>
      <c r="AF21" s="56"/>
      <c r="AG21" s="23"/>
      <c r="AH21" s="23"/>
      <c r="AI21" s="23"/>
      <c r="AJ21" s="23"/>
      <c r="AK21" s="23"/>
      <c r="AL21" s="220"/>
      <c r="AM21" s="220"/>
      <c r="AN21" s="220"/>
      <c r="AO21" s="220"/>
      <c r="AP21" s="220"/>
      <c r="AQ21" s="220"/>
    </row>
    <row r="22" spans="2:43" ht="31.5" customHeight="1" thickBot="1">
      <c r="B22" s="137">
        <v>6</v>
      </c>
      <c r="C22" s="15"/>
      <c r="D22" s="66"/>
      <c r="E22" s="107"/>
      <c r="F22" s="108"/>
      <c r="G22" s="108"/>
      <c r="H22" s="108"/>
      <c r="I22" s="108"/>
      <c r="J22" s="109"/>
      <c r="K22" s="109"/>
      <c r="L22" s="110"/>
      <c r="M22" s="111"/>
      <c r="N22" s="112"/>
      <c r="O22" s="112"/>
      <c r="P22" s="112"/>
      <c r="Q22" s="112"/>
      <c r="R22" s="113"/>
      <c r="S22" s="221"/>
      <c r="T22" s="222"/>
      <c r="U22" s="221"/>
      <c r="V22" s="222"/>
      <c r="W22" s="221"/>
      <c r="X22" s="222"/>
      <c r="Y22" s="223"/>
      <c r="Z22" s="220"/>
      <c r="AA22" s="67"/>
      <c r="AB22" s="117"/>
      <c r="AC22" s="117"/>
      <c r="AD22" s="117"/>
      <c r="AE22" s="117"/>
      <c r="AF22" s="56"/>
      <c r="AG22" s="23"/>
      <c r="AH22" s="23"/>
      <c r="AI22" s="23"/>
      <c r="AJ22" s="23"/>
      <c r="AK22" s="23"/>
      <c r="AL22" s="220"/>
      <c r="AM22" s="220"/>
      <c r="AN22" s="220"/>
      <c r="AO22" s="220"/>
      <c r="AP22" s="220"/>
      <c r="AQ22" s="220"/>
    </row>
    <row r="23" spans="3:26" s="21" customFormat="1" ht="41.25" customHeight="1">
      <c r="C23" s="19"/>
      <c r="D23" s="20"/>
      <c r="E23" s="68" t="s">
        <v>201</v>
      </c>
      <c r="F23" s="20"/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8:26" ht="15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</sheetData>
  <sheetProtection/>
  <mergeCells count="69">
    <mergeCell ref="C1:AF1"/>
    <mergeCell ref="A5:H5"/>
    <mergeCell ref="I5:AF5"/>
    <mergeCell ref="C6:D6"/>
    <mergeCell ref="E6:F6"/>
    <mergeCell ref="C7:D7"/>
    <mergeCell ref="E7:F7"/>
    <mergeCell ref="V3:AF3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B15:B16"/>
    <mergeCell ref="C15:D15"/>
    <mergeCell ref="E15:L16"/>
    <mergeCell ref="M15:R16"/>
    <mergeCell ref="S15:X15"/>
    <mergeCell ref="AL15:AQ15"/>
    <mergeCell ref="S16:T16"/>
    <mergeCell ref="U16:V16"/>
    <mergeCell ref="W16:X16"/>
    <mergeCell ref="AL16:AM16"/>
    <mergeCell ref="AN16:AO16"/>
    <mergeCell ref="AP16:AQ16"/>
    <mergeCell ref="S17:T17"/>
    <mergeCell ref="U17:V17"/>
    <mergeCell ref="W17:X17"/>
    <mergeCell ref="AL17:AM17"/>
    <mergeCell ref="AN17:AO17"/>
    <mergeCell ref="AP17:AQ17"/>
    <mergeCell ref="S18:T18"/>
    <mergeCell ref="U18:V18"/>
    <mergeCell ref="W18:X18"/>
    <mergeCell ref="AL18:AM18"/>
    <mergeCell ref="AN18:AO18"/>
    <mergeCell ref="AP18:AQ18"/>
    <mergeCell ref="S19:T19"/>
    <mergeCell ref="U19:V19"/>
    <mergeCell ref="W19:X19"/>
    <mergeCell ref="AL19:AM19"/>
    <mergeCell ref="AN19:AO19"/>
    <mergeCell ref="AP19:AQ19"/>
    <mergeCell ref="S20:T20"/>
    <mergeCell ref="U20:V20"/>
    <mergeCell ref="W20:X20"/>
    <mergeCell ref="AL20:AM20"/>
    <mergeCell ref="AN20:AO20"/>
    <mergeCell ref="AP20:AQ20"/>
    <mergeCell ref="S21:T21"/>
    <mergeCell ref="U21:V21"/>
    <mergeCell ref="W21:X21"/>
    <mergeCell ref="AL21:AM21"/>
    <mergeCell ref="AN21:AO21"/>
    <mergeCell ref="AP21:AQ21"/>
    <mergeCell ref="AP22:AQ22"/>
    <mergeCell ref="S22:T22"/>
    <mergeCell ref="U22:V22"/>
    <mergeCell ref="W22:X22"/>
    <mergeCell ref="Y22:Z22"/>
    <mergeCell ref="AL22:AM22"/>
    <mergeCell ref="AN22:AO22"/>
  </mergeCells>
  <printOptions horizontalCentered="1" verticalCentered="1"/>
  <pageMargins left="0.35433070866141736" right="0.3937007874015748" top="0" bottom="0" header="0" footer="0"/>
  <pageSetup fitToHeight="1" fitToWidth="1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M6" sqref="M6:M29"/>
    </sheetView>
  </sheetViews>
  <sheetFormatPr defaultColWidth="9.140625" defaultRowHeight="15"/>
  <cols>
    <col min="2" max="2" width="18.7109375" style="0" customWidth="1"/>
    <col min="3" max="3" width="22.00390625" style="0" customWidth="1"/>
    <col min="4" max="4" width="15.28125" style="0" customWidth="1"/>
    <col min="5" max="5" width="15.8515625" style="0" customWidth="1"/>
    <col min="6" max="6" width="12.7109375" style="0" customWidth="1"/>
    <col min="7" max="7" width="13.00390625" style="0" customWidth="1"/>
    <col min="8" max="8" width="16.8515625" style="0" customWidth="1"/>
    <col min="9" max="9" width="21.00390625" style="0" customWidth="1"/>
  </cols>
  <sheetData>
    <row r="2" ht="15">
      <c r="A2" t="s">
        <v>153</v>
      </c>
    </row>
    <row r="4" spans="1:15" ht="15">
      <c r="A4" t="s">
        <v>154</v>
      </c>
      <c r="B4" t="s">
        <v>155</v>
      </c>
      <c r="D4" t="s">
        <v>156</v>
      </c>
      <c r="G4" t="s">
        <v>157</v>
      </c>
      <c r="I4" t="s">
        <v>158</v>
      </c>
      <c r="K4" t="s">
        <v>159</v>
      </c>
      <c r="M4" t="s">
        <v>160</v>
      </c>
      <c r="O4" t="s">
        <v>161</v>
      </c>
    </row>
    <row r="5" spans="2:16" ht="15">
      <c r="B5" t="s">
        <v>162</v>
      </c>
      <c r="C5" t="s">
        <v>163</v>
      </c>
      <c r="D5" t="s">
        <v>162</v>
      </c>
      <c r="E5" t="s">
        <v>163</v>
      </c>
      <c r="G5" t="s">
        <v>162</v>
      </c>
      <c r="H5" t="s">
        <v>163</v>
      </c>
      <c r="I5" t="s">
        <v>162</v>
      </c>
      <c r="J5" t="s">
        <v>163</v>
      </c>
      <c r="K5" t="s">
        <v>162</v>
      </c>
      <c r="L5" t="s">
        <v>163</v>
      </c>
      <c r="M5" t="s">
        <v>162</v>
      </c>
      <c r="N5" t="s">
        <v>163</v>
      </c>
      <c r="O5" t="s">
        <v>162</v>
      </c>
      <c r="P5" t="s">
        <v>163</v>
      </c>
    </row>
    <row r="6" spans="1:16" ht="15">
      <c r="A6" t="s">
        <v>164</v>
      </c>
      <c r="B6">
        <v>187.8</v>
      </c>
      <c r="C6">
        <v>0</v>
      </c>
      <c r="D6">
        <v>91.2</v>
      </c>
      <c r="E6">
        <v>0</v>
      </c>
      <c r="F6">
        <f>B6+D6</f>
        <v>279</v>
      </c>
      <c r="G6">
        <v>149.4</v>
      </c>
      <c r="H6">
        <v>4.5</v>
      </c>
      <c r="I6">
        <v>223.5</v>
      </c>
      <c r="J6">
        <v>79.8</v>
      </c>
      <c r="K6">
        <v>64.14</v>
      </c>
      <c r="L6">
        <v>0</v>
      </c>
      <c r="M6">
        <v>17.7</v>
      </c>
      <c r="N6">
        <v>0</v>
      </c>
      <c r="O6">
        <v>733.74</v>
      </c>
      <c r="P6">
        <v>84.3</v>
      </c>
    </row>
    <row r="7" spans="1:16" ht="15">
      <c r="A7" t="s">
        <v>165</v>
      </c>
      <c r="B7">
        <v>180.6</v>
      </c>
      <c r="C7">
        <v>0</v>
      </c>
      <c r="D7">
        <v>76.8</v>
      </c>
      <c r="E7">
        <v>0</v>
      </c>
      <c r="F7">
        <f aca="true" t="shared" si="0" ref="F7:F30">B7+D7</f>
        <v>257.4</v>
      </c>
      <c r="G7">
        <v>160.5</v>
      </c>
      <c r="H7">
        <v>71.1</v>
      </c>
      <c r="I7">
        <v>229.2</v>
      </c>
      <c r="J7">
        <v>78.3</v>
      </c>
      <c r="K7">
        <v>62.94</v>
      </c>
      <c r="L7">
        <v>0</v>
      </c>
      <c r="M7">
        <v>17.76</v>
      </c>
      <c r="N7">
        <v>0</v>
      </c>
      <c r="O7">
        <v>727.8</v>
      </c>
      <c r="P7">
        <v>149.39999999999998</v>
      </c>
    </row>
    <row r="8" spans="1:16" ht="15">
      <c r="A8" t="s">
        <v>166</v>
      </c>
      <c r="B8">
        <v>177.6</v>
      </c>
      <c r="C8">
        <v>0</v>
      </c>
      <c r="D8">
        <v>70.2</v>
      </c>
      <c r="E8">
        <v>0</v>
      </c>
      <c r="F8">
        <f t="shared" si="0"/>
        <v>247.8</v>
      </c>
      <c r="G8">
        <v>154.8</v>
      </c>
      <c r="H8">
        <v>61.2</v>
      </c>
      <c r="I8">
        <v>225</v>
      </c>
      <c r="J8">
        <v>74.1</v>
      </c>
      <c r="K8">
        <v>64.38</v>
      </c>
      <c r="L8">
        <v>0</v>
      </c>
      <c r="M8">
        <v>17.82</v>
      </c>
      <c r="N8">
        <v>0</v>
      </c>
      <c r="O8">
        <v>709.8</v>
      </c>
      <c r="P8">
        <v>135.3</v>
      </c>
    </row>
    <row r="9" spans="1:16" ht="15">
      <c r="A9" t="s">
        <v>167</v>
      </c>
      <c r="B9">
        <v>172.8</v>
      </c>
      <c r="C9">
        <v>0</v>
      </c>
      <c r="D9">
        <v>68.4</v>
      </c>
      <c r="E9">
        <v>0</v>
      </c>
      <c r="F9">
        <f t="shared" si="0"/>
        <v>241.20000000000002</v>
      </c>
      <c r="G9">
        <v>140.4</v>
      </c>
      <c r="H9">
        <v>26.1</v>
      </c>
      <c r="I9">
        <v>222</v>
      </c>
      <c r="J9">
        <v>64.8</v>
      </c>
      <c r="K9">
        <v>64.8</v>
      </c>
      <c r="L9">
        <v>0</v>
      </c>
      <c r="M9">
        <v>17.82</v>
      </c>
      <c r="N9">
        <v>0</v>
      </c>
      <c r="O9">
        <v>686.22</v>
      </c>
      <c r="P9">
        <v>90.9</v>
      </c>
    </row>
    <row r="10" spans="1:16" ht="15">
      <c r="A10" t="s">
        <v>168</v>
      </c>
      <c r="B10">
        <v>177.6</v>
      </c>
      <c r="C10">
        <v>0</v>
      </c>
      <c r="D10">
        <v>69</v>
      </c>
      <c r="E10">
        <v>0</v>
      </c>
      <c r="F10">
        <f t="shared" si="0"/>
        <v>246.6</v>
      </c>
      <c r="G10">
        <v>144.6</v>
      </c>
      <c r="H10">
        <v>15.3</v>
      </c>
      <c r="I10">
        <v>223.2</v>
      </c>
      <c r="J10">
        <v>62.7</v>
      </c>
      <c r="K10">
        <v>61.98</v>
      </c>
      <c r="L10">
        <v>0</v>
      </c>
      <c r="M10">
        <v>17.76</v>
      </c>
      <c r="N10">
        <v>0</v>
      </c>
      <c r="O10">
        <v>694.14</v>
      </c>
      <c r="P10">
        <v>78</v>
      </c>
    </row>
    <row r="11" spans="1:16" ht="15">
      <c r="A11" t="s">
        <v>169</v>
      </c>
      <c r="B11">
        <v>187.8</v>
      </c>
      <c r="C11">
        <v>0</v>
      </c>
      <c r="D11">
        <v>81</v>
      </c>
      <c r="E11">
        <v>0</v>
      </c>
      <c r="F11">
        <f t="shared" si="0"/>
        <v>268.8</v>
      </c>
      <c r="G11">
        <v>155.4</v>
      </c>
      <c r="H11">
        <v>30</v>
      </c>
      <c r="I11">
        <v>219.6</v>
      </c>
      <c r="J11">
        <v>61.2</v>
      </c>
      <c r="K11">
        <v>70.44</v>
      </c>
      <c r="L11">
        <v>0.84</v>
      </c>
      <c r="M11">
        <v>17.82</v>
      </c>
      <c r="N11">
        <v>0</v>
      </c>
      <c r="O11">
        <v>732.06</v>
      </c>
      <c r="P11">
        <v>92.04</v>
      </c>
    </row>
    <row r="12" spans="1:16" ht="15">
      <c r="A12" t="s">
        <v>170</v>
      </c>
      <c r="B12">
        <v>204</v>
      </c>
      <c r="C12">
        <v>0</v>
      </c>
      <c r="D12">
        <v>91.8</v>
      </c>
      <c r="E12">
        <v>0</v>
      </c>
      <c r="F12">
        <f t="shared" si="0"/>
        <v>295.8</v>
      </c>
      <c r="G12">
        <v>166.8</v>
      </c>
      <c r="H12">
        <v>44.1</v>
      </c>
      <c r="I12">
        <v>239.4</v>
      </c>
      <c r="J12">
        <v>72.9</v>
      </c>
      <c r="K12">
        <v>94.14</v>
      </c>
      <c r="L12">
        <v>24.18</v>
      </c>
      <c r="M12">
        <v>19.98</v>
      </c>
      <c r="N12">
        <v>0.6</v>
      </c>
      <c r="O12">
        <v>816.12</v>
      </c>
      <c r="P12">
        <v>141.78</v>
      </c>
    </row>
    <row r="13" spans="1:16" ht="15">
      <c r="A13" t="s">
        <v>171</v>
      </c>
      <c r="B13">
        <v>270</v>
      </c>
      <c r="C13">
        <v>0.6</v>
      </c>
      <c r="D13">
        <v>102</v>
      </c>
      <c r="E13">
        <v>0</v>
      </c>
      <c r="F13">
        <f t="shared" si="0"/>
        <v>372</v>
      </c>
      <c r="G13">
        <v>222.6</v>
      </c>
      <c r="H13">
        <v>98.1</v>
      </c>
      <c r="I13">
        <v>438.3</v>
      </c>
      <c r="J13">
        <v>375</v>
      </c>
      <c r="K13">
        <v>103.26</v>
      </c>
      <c r="L13">
        <v>43.26</v>
      </c>
      <c r="M13">
        <v>24.54</v>
      </c>
      <c r="N13">
        <v>6.96</v>
      </c>
      <c r="O13">
        <v>1160.7</v>
      </c>
      <c r="P13">
        <v>523.9200000000001</v>
      </c>
    </row>
    <row r="14" spans="1:16" ht="15">
      <c r="A14" t="s">
        <v>172</v>
      </c>
      <c r="B14">
        <v>273.6</v>
      </c>
      <c r="C14">
        <v>0</v>
      </c>
      <c r="D14">
        <v>101.4</v>
      </c>
      <c r="E14">
        <v>0</v>
      </c>
      <c r="F14">
        <f t="shared" si="0"/>
        <v>375</v>
      </c>
      <c r="G14">
        <v>196.8</v>
      </c>
      <c r="H14">
        <v>78.9</v>
      </c>
      <c r="I14">
        <v>573.6</v>
      </c>
      <c r="J14">
        <v>544.2</v>
      </c>
      <c r="K14">
        <v>103.38</v>
      </c>
      <c r="L14">
        <v>53.34</v>
      </c>
      <c r="M14">
        <v>22.68</v>
      </c>
      <c r="N14">
        <v>12.06</v>
      </c>
      <c r="O14">
        <v>1271.46</v>
      </c>
      <c r="P14">
        <v>688.5</v>
      </c>
    </row>
    <row r="15" spans="1:16" ht="15">
      <c r="A15" t="s">
        <v>173</v>
      </c>
      <c r="B15">
        <v>281.4</v>
      </c>
      <c r="C15">
        <v>0.6</v>
      </c>
      <c r="D15">
        <v>113.4</v>
      </c>
      <c r="E15">
        <v>0</v>
      </c>
      <c r="F15">
        <f t="shared" si="0"/>
        <v>394.79999999999995</v>
      </c>
      <c r="G15">
        <v>204.6</v>
      </c>
      <c r="H15">
        <v>89.4</v>
      </c>
      <c r="I15">
        <v>556.5</v>
      </c>
      <c r="J15">
        <v>513.6</v>
      </c>
      <c r="K15">
        <v>110.46</v>
      </c>
      <c r="L15">
        <v>50.4</v>
      </c>
      <c r="M15">
        <v>25.32</v>
      </c>
      <c r="N15">
        <v>13.02</v>
      </c>
      <c r="O15">
        <v>1291.68</v>
      </c>
      <c r="P15">
        <v>667.02</v>
      </c>
    </row>
    <row r="16" spans="1:16" ht="15">
      <c r="A16" t="s">
        <v>174</v>
      </c>
      <c r="B16">
        <v>283.2</v>
      </c>
      <c r="C16">
        <v>0</v>
      </c>
      <c r="D16">
        <v>115.2</v>
      </c>
      <c r="E16">
        <v>0</v>
      </c>
      <c r="F16">
        <f t="shared" si="0"/>
        <v>398.4</v>
      </c>
      <c r="G16">
        <v>189.3</v>
      </c>
      <c r="H16">
        <v>74.7</v>
      </c>
      <c r="I16">
        <v>530.4</v>
      </c>
      <c r="J16">
        <v>441</v>
      </c>
      <c r="K16">
        <v>108.78</v>
      </c>
      <c r="L16">
        <v>45.54</v>
      </c>
      <c r="M16">
        <v>22.86</v>
      </c>
      <c r="N16">
        <v>7.32</v>
      </c>
      <c r="O16">
        <v>1249.74</v>
      </c>
      <c r="P16">
        <v>568.5600000000001</v>
      </c>
    </row>
    <row r="17" spans="1:16" ht="15">
      <c r="A17" t="s">
        <v>175</v>
      </c>
      <c r="B17">
        <v>247.8</v>
      </c>
      <c r="C17">
        <v>0</v>
      </c>
      <c r="D17">
        <v>121.8</v>
      </c>
      <c r="E17">
        <v>0</v>
      </c>
      <c r="F17">
        <f t="shared" si="0"/>
        <v>369.6</v>
      </c>
      <c r="G17">
        <v>185.7</v>
      </c>
      <c r="H17">
        <v>50.7</v>
      </c>
      <c r="I17">
        <v>348.6</v>
      </c>
      <c r="J17">
        <v>163.8</v>
      </c>
      <c r="K17">
        <v>102.66</v>
      </c>
      <c r="L17">
        <v>18.36</v>
      </c>
      <c r="M17">
        <v>19.8</v>
      </c>
      <c r="N17">
        <v>0.54</v>
      </c>
      <c r="O17">
        <v>1026.36</v>
      </c>
      <c r="P17">
        <v>233.4</v>
      </c>
    </row>
    <row r="18" spans="1:16" ht="15">
      <c r="A18" t="s">
        <v>176</v>
      </c>
      <c r="B18">
        <v>283.8</v>
      </c>
      <c r="C18">
        <v>1.2</v>
      </c>
      <c r="D18">
        <v>123</v>
      </c>
      <c r="E18">
        <v>0</v>
      </c>
      <c r="F18">
        <f t="shared" si="0"/>
        <v>406.8</v>
      </c>
      <c r="G18">
        <v>211.2</v>
      </c>
      <c r="H18">
        <v>94.2</v>
      </c>
      <c r="I18">
        <v>497.1</v>
      </c>
      <c r="J18">
        <v>434.1</v>
      </c>
      <c r="K18">
        <v>105.6</v>
      </c>
      <c r="L18">
        <v>40.14</v>
      </c>
      <c r="M18">
        <v>24.18</v>
      </c>
      <c r="N18">
        <v>2.82</v>
      </c>
      <c r="O18">
        <v>1244.88</v>
      </c>
      <c r="P18">
        <v>572.46</v>
      </c>
    </row>
    <row r="19" spans="1:16" ht="15">
      <c r="A19" t="s">
        <v>177</v>
      </c>
      <c r="B19">
        <v>298.8</v>
      </c>
      <c r="C19">
        <v>0.6</v>
      </c>
      <c r="D19">
        <v>128.4</v>
      </c>
      <c r="E19">
        <v>0</v>
      </c>
      <c r="F19">
        <f t="shared" si="0"/>
        <v>427.20000000000005</v>
      </c>
      <c r="G19">
        <v>200.7</v>
      </c>
      <c r="H19">
        <v>86.1</v>
      </c>
      <c r="I19">
        <v>505.5</v>
      </c>
      <c r="J19">
        <v>490.5</v>
      </c>
      <c r="K19">
        <v>112.2</v>
      </c>
      <c r="L19">
        <v>13.08</v>
      </c>
      <c r="M19">
        <v>20.88</v>
      </c>
      <c r="N19">
        <v>7.5</v>
      </c>
      <c r="O19">
        <v>1266.48</v>
      </c>
      <c r="P19">
        <v>597.7800000000001</v>
      </c>
    </row>
    <row r="20" spans="1:16" ht="15">
      <c r="A20" t="s">
        <v>178</v>
      </c>
      <c r="B20">
        <v>293.4</v>
      </c>
      <c r="C20">
        <v>0.6</v>
      </c>
      <c r="D20">
        <v>129.6</v>
      </c>
      <c r="E20">
        <v>0</v>
      </c>
      <c r="F20">
        <f t="shared" si="0"/>
        <v>423</v>
      </c>
      <c r="G20">
        <v>190.5</v>
      </c>
      <c r="H20">
        <v>77.4</v>
      </c>
      <c r="I20">
        <v>460.8</v>
      </c>
      <c r="J20">
        <v>442.8</v>
      </c>
      <c r="K20">
        <v>110.7</v>
      </c>
      <c r="L20">
        <v>43.2</v>
      </c>
      <c r="M20">
        <v>19.74</v>
      </c>
      <c r="N20">
        <v>8.52</v>
      </c>
      <c r="O20">
        <v>1204.74</v>
      </c>
      <c r="P20">
        <v>572.52</v>
      </c>
    </row>
    <row r="21" spans="1:16" ht="15">
      <c r="A21" t="s">
        <v>179</v>
      </c>
      <c r="B21">
        <v>280.8</v>
      </c>
      <c r="C21">
        <v>0</v>
      </c>
      <c r="D21">
        <v>123</v>
      </c>
      <c r="E21">
        <v>0</v>
      </c>
      <c r="F21">
        <f t="shared" si="0"/>
        <v>403.8</v>
      </c>
      <c r="G21">
        <v>184.8</v>
      </c>
      <c r="H21">
        <v>66.3</v>
      </c>
      <c r="I21">
        <v>381.9</v>
      </c>
      <c r="J21">
        <v>297</v>
      </c>
      <c r="K21">
        <v>112.08</v>
      </c>
      <c r="L21">
        <v>18.12</v>
      </c>
      <c r="M21">
        <v>19.74</v>
      </c>
      <c r="N21">
        <v>3.24</v>
      </c>
      <c r="O21">
        <v>1102.32</v>
      </c>
      <c r="P21">
        <v>384.66</v>
      </c>
    </row>
    <row r="22" spans="1:16" ht="15">
      <c r="A22" t="s">
        <v>180</v>
      </c>
      <c r="B22">
        <v>272.4</v>
      </c>
      <c r="C22">
        <v>0</v>
      </c>
      <c r="D22">
        <v>138</v>
      </c>
      <c r="E22">
        <v>0</v>
      </c>
      <c r="F22">
        <f t="shared" si="0"/>
        <v>410.4</v>
      </c>
      <c r="G22">
        <v>174</v>
      </c>
      <c r="H22">
        <v>63</v>
      </c>
      <c r="I22">
        <v>390.9</v>
      </c>
      <c r="J22">
        <v>252.9</v>
      </c>
      <c r="K22">
        <v>92.22</v>
      </c>
      <c r="L22">
        <v>1.62</v>
      </c>
      <c r="M22">
        <v>17.94</v>
      </c>
      <c r="N22">
        <v>0</v>
      </c>
      <c r="O22">
        <v>1085.46</v>
      </c>
      <c r="P22">
        <v>317.52</v>
      </c>
    </row>
    <row r="23" spans="1:16" ht="15">
      <c r="A23" t="s">
        <v>181</v>
      </c>
      <c r="B23">
        <v>284.4</v>
      </c>
      <c r="C23">
        <v>0</v>
      </c>
      <c r="D23">
        <v>151.8</v>
      </c>
      <c r="E23">
        <v>0</v>
      </c>
      <c r="F23">
        <f t="shared" si="0"/>
        <v>436.2</v>
      </c>
      <c r="G23">
        <v>156.3</v>
      </c>
      <c r="H23">
        <v>59.1</v>
      </c>
      <c r="I23">
        <v>345</v>
      </c>
      <c r="J23">
        <v>202.8</v>
      </c>
      <c r="K23">
        <v>83.16</v>
      </c>
      <c r="L23">
        <v>0.36</v>
      </c>
      <c r="M23">
        <v>17.76</v>
      </c>
      <c r="N23">
        <v>0</v>
      </c>
      <c r="O23">
        <v>1038.42</v>
      </c>
      <c r="P23">
        <v>262.26000000000005</v>
      </c>
    </row>
    <row r="24" spans="1:16" ht="15">
      <c r="A24" t="s">
        <v>182</v>
      </c>
      <c r="B24">
        <v>288.6</v>
      </c>
      <c r="C24">
        <v>0</v>
      </c>
      <c r="D24">
        <v>157.2</v>
      </c>
      <c r="E24">
        <v>0</v>
      </c>
      <c r="F24">
        <f t="shared" si="0"/>
        <v>445.8</v>
      </c>
      <c r="G24">
        <v>150.3</v>
      </c>
      <c r="H24">
        <v>49.2</v>
      </c>
      <c r="I24">
        <v>330.3</v>
      </c>
      <c r="J24">
        <v>192</v>
      </c>
      <c r="K24">
        <v>82.8</v>
      </c>
      <c r="L24">
        <v>1.32</v>
      </c>
      <c r="M24">
        <v>17.76</v>
      </c>
      <c r="N24">
        <v>0</v>
      </c>
      <c r="O24">
        <v>1026.96</v>
      </c>
      <c r="P24">
        <v>242.51999999999998</v>
      </c>
    </row>
    <row r="25" spans="1:16" ht="15">
      <c r="A25" t="s">
        <v>183</v>
      </c>
      <c r="B25">
        <v>294</v>
      </c>
      <c r="C25">
        <v>0</v>
      </c>
      <c r="D25">
        <v>164.4</v>
      </c>
      <c r="E25">
        <v>0</v>
      </c>
      <c r="F25">
        <f t="shared" si="0"/>
        <v>458.4</v>
      </c>
      <c r="G25">
        <v>163.5</v>
      </c>
      <c r="H25">
        <v>53.1</v>
      </c>
      <c r="I25">
        <v>339.9</v>
      </c>
      <c r="J25">
        <v>212.1</v>
      </c>
      <c r="K25">
        <v>84.48</v>
      </c>
      <c r="L25">
        <v>0</v>
      </c>
      <c r="M25">
        <v>17.88</v>
      </c>
      <c r="N25">
        <v>0</v>
      </c>
      <c r="O25">
        <v>1064.16</v>
      </c>
      <c r="P25">
        <v>265.2</v>
      </c>
    </row>
    <row r="26" spans="1:16" ht="15">
      <c r="A26" t="s">
        <v>184</v>
      </c>
      <c r="B26">
        <v>298.8</v>
      </c>
      <c r="C26">
        <v>0</v>
      </c>
      <c r="D26">
        <v>171</v>
      </c>
      <c r="E26">
        <v>0</v>
      </c>
      <c r="F26">
        <f t="shared" si="0"/>
        <v>469.8</v>
      </c>
      <c r="G26">
        <v>168.6</v>
      </c>
      <c r="H26">
        <v>78.3</v>
      </c>
      <c r="I26">
        <v>300.6</v>
      </c>
      <c r="J26">
        <v>194.7</v>
      </c>
      <c r="K26">
        <v>82.56</v>
      </c>
      <c r="L26">
        <v>0</v>
      </c>
      <c r="M26">
        <v>17.52</v>
      </c>
      <c r="N26">
        <v>0</v>
      </c>
      <c r="O26">
        <v>1039.08</v>
      </c>
      <c r="P26">
        <v>273</v>
      </c>
    </row>
    <row r="27" spans="1:16" ht="15">
      <c r="A27" t="s">
        <v>185</v>
      </c>
      <c r="B27">
        <v>302.4</v>
      </c>
      <c r="C27">
        <v>0</v>
      </c>
      <c r="D27">
        <v>156</v>
      </c>
      <c r="E27">
        <v>0</v>
      </c>
      <c r="F27">
        <f t="shared" si="0"/>
        <v>458.4</v>
      </c>
      <c r="G27">
        <v>143.7</v>
      </c>
      <c r="H27">
        <v>56.4</v>
      </c>
      <c r="I27">
        <v>310.5</v>
      </c>
      <c r="J27">
        <v>197.1</v>
      </c>
      <c r="K27">
        <v>79.68</v>
      </c>
      <c r="L27">
        <v>0</v>
      </c>
      <c r="M27">
        <v>17.46</v>
      </c>
      <c r="N27">
        <v>0</v>
      </c>
      <c r="O27">
        <v>1009.74</v>
      </c>
      <c r="P27">
        <v>253.5</v>
      </c>
    </row>
    <row r="28" spans="1:16" ht="15">
      <c r="A28" t="s">
        <v>186</v>
      </c>
      <c r="B28">
        <v>235.8</v>
      </c>
      <c r="C28">
        <v>0</v>
      </c>
      <c r="D28">
        <v>136.8</v>
      </c>
      <c r="E28">
        <v>0</v>
      </c>
      <c r="F28">
        <f t="shared" si="0"/>
        <v>372.6</v>
      </c>
      <c r="G28">
        <v>119.1</v>
      </c>
      <c r="H28">
        <v>33.9</v>
      </c>
      <c r="I28">
        <v>306</v>
      </c>
      <c r="J28">
        <v>166.2</v>
      </c>
      <c r="K28">
        <v>82.56</v>
      </c>
      <c r="L28">
        <v>0</v>
      </c>
      <c r="M28">
        <v>16.68</v>
      </c>
      <c r="N28">
        <v>0</v>
      </c>
      <c r="O28">
        <v>896.94</v>
      </c>
      <c r="P28">
        <v>200.1</v>
      </c>
    </row>
    <row r="29" spans="1:16" ht="15">
      <c r="A29" t="s">
        <v>187</v>
      </c>
      <c r="B29">
        <v>211.8</v>
      </c>
      <c r="C29">
        <v>0</v>
      </c>
      <c r="D29">
        <v>105</v>
      </c>
      <c r="E29">
        <v>0</v>
      </c>
      <c r="F29">
        <f t="shared" si="0"/>
        <v>316.8</v>
      </c>
      <c r="G29">
        <v>126.3</v>
      </c>
      <c r="H29">
        <v>45</v>
      </c>
      <c r="I29">
        <v>238.5</v>
      </c>
      <c r="J29">
        <v>83.1</v>
      </c>
      <c r="K29">
        <v>80.1</v>
      </c>
      <c r="L29">
        <v>0</v>
      </c>
      <c r="M29">
        <v>16.32</v>
      </c>
      <c r="N29">
        <v>0</v>
      </c>
      <c r="O29">
        <v>778.02</v>
      </c>
      <c r="P29">
        <v>128.1</v>
      </c>
    </row>
    <row r="30" spans="1:16" ht="15">
      <c r="A30" t="s">
        <v>188</v>
      </c>
      <c r="B30">
        <v>5989.200000000002</v>
      </c>
      <c r="C30">
        <v>3.6</v>
      </c>
      <c r="D30">
        <v>2786.4</v>
      </c>
      <c r="E30">
        <v>0</v>
      </c>
      <c r="F30">
        <f t="shared" si="0"/>
        <v>8775.600000000002</v>
      </c>
      <c r="G30">
        <v>4059.8999999999996</v>
      </c>
      <c r="H30">
        <v>1406.1</v>
      </c>
      <c r="I30">
        <v>8436.3</v>
      </c>
      <c r="J30">
        <v>5696.700000000001</v>
      </c>
      <c r="K30">
        <v>2119.5</v>
      </c>
      <c r="L30">
        <v>353.76</v>
      </c>
      <c r="M30">
        <v>465.71999999999997</v>
      </c>
      <c r="N30">
        <v>62.580000000000005</v>
      </c>
      <c r="O30">
        <v>23857.02</v>
      </c>
      <c r="P30">
        <v>7522.740000000001</v>
      </c>
    </row>
    <row r="33" spans="1:7" ht="15">
      <c r="A33" t="s">
        <v>189</v>
      </c>
      <c r="G33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SheetLayoutView="100" zoomScalePageLayoutView="0" workbookViewId="0" topLeftCell="A15">
      <selection activeCell="B3" sqref="B3:K39"/>
    </sheetView>
  </sheetViews>
  <sheetFormatPr defaultColWidth="9.140625" defaultRowHeight="15"/>
  <cols>
    <col min="1" max="1" width="3.140625" style="0" customWidth="1"/>
    <col min="2" max="2" width="14.8515625" style="0" customWidth="1"/>
    <col min="3" max="3" width="8.7109375" style="0" customWidth="1"/>
    <col min="4" max="5" width="8.00390625" style="0" customWidth="1"/>
    <col min="6" max="6" width="9.140625" style="0" customWidth="1"/>
    <col min="7" max="7" width="8.7109375" style="0" customWidth="1"/>
    <col min="8" max="8" width="11.8515625" style="0" customWidth="1"/>
    <col min="9" max="10" width="8.00390625" style="0" customWidth="1"/>
    <col min="11" max="11" width="12.7109375" style="0" customWidth="1"/>
    <col min="12" max="12" width="10.7109375" style="0" bestFit="1" customWidth="1"/>
  </cols>
  <sheetData>
    <row r="1" spans="9:11" ht="19.5" customHeight="1">
      <c r="I1" s="269" t="s">
        <v>49</v>
      </c>
      <c r="J1" s="269"/>
      <c r="K1" s="269"/>
    </row>
    <row r="2" ht="10.5" customHeight="1" thickBot="1"/>
    <row r="3" spans="2:11" ht="41.25" customHeight="1">
      <c r="B3" s="270" t="s">
        <v>29</v>
      </c>
      <c r="C3" s="271"/>
      <c r="D3" s="271"/>
      <c r="E3" s="271"/>
      <c r="F3" s="271"/>
      <c r="G3" s="271"/>
      <c r="H3" s="151"/>
      <c r="I3" s="286" t="s">
        <v>116</v>
      </c>
      <c r="J3" s="286"/>
      <c r="K3" s="287"/>
    </row>
    <row r="4" spans="2:11" s="24" customFormat="1" ht="39.75" customHeight="1">
      <c r="B4" s="288" t="s">
        <v>205</v>
      </c>
      <c r="C4" s="289"/>
      <c r="D4" s="289"/>
      <c r="E4" s="289"/>
      <c r="F4" s="289"/>
      <c r="G4" s="289"/>
      <c r="H4" s="289"/>
      <c r="I4" s="289"/>
      <c r="J4" s="289"/>
      <c r="K4" s="290"/>
    </row>
    <row r="5" spans="2:11" s="24" customFormat="1" ht="37.5" customHeight="1">
      <c r="B5" s="291" t="s">
        <v>204</v>
      </c>
      <c r="C5" s="292"/>
      <c r="D5" s="292"/>
      <c r="E5" s="292"/>
      <c r="F5" s="292"/>
      <c r="G5" s="292"/>
      <c r="H5" s="292"/>
      <c r="I5" s="292"/>
      <c r="J5" s="292"/>
      <c r="K5" s="293"/>
    </row>
    <row r="6" spans="2:11" ht="35.25" customHeight="1">
      <c r="B6" s="272" t="s">
        <v>0</v>
      </c>
      <c r="C6" s="294" t="s">
        <v>30</v>
      </c>
      <c r="D6" s="294"/>
      <c r="E6" s="294" t="s">
        <v>43</v>
      </c>
      <c r="F6" s="294"/>
      <c r="G6" s="294"/>
      <c r="H6" s="294"/>
      <c r="I6" s="282" t="s">
        <v>44</v>
      </c>
      <c r="J6" s="283"/>
      <c r="K6" s="275" t="s">
        <v>40</v>
      </c>
    </row>
    <row r="7" spans="2:11" ht="25.5" customHeight="1">
      <c r="B7" s="273"/>
      <c r="C7" s="294"/>
      <c r="D7" s="294"/>
      <c r="E7" s="294"/>
      <c r="F7" s="294"/>
      <c r="G7" s="294"/>
      <c r="H7" s="294"/>
      <c r="I7" s="284"/>
      <c r="J7" s="285"/>
      <c r="K7" s="276"/>
    </row>
    <row r="8" spans="2:11" ht="36">
      <c r="B8" s="273"/>
      <c r="C8" s="264" t="s">
        <v>31</v>
      </c>
      <c r="D8" s="264" t="s">
        <v>32</v>
      </c>
      <c r="E8" s="264" t="s">
        <v>33</v>
      </c>
      <c r="F8" s="268" t="s">
        <v>34</v>
      </c>
      <c r="G8" s="264" t="s">
        <v>35</v>
      </c>
      <c r="H8" s="277" t="s">
        <v>105</v>
      </c>
      <c r="I8" s="3" t="s">
        <v>41</v>
      </c>
      <c r="J8" s="3" t="s">
        <v>42</v>
      </c>
      <c r="K8" s="152"/>
    </row>
    <row r="9" spans="2:11" ht="14.25" customHeight="1">
      <c r="B9" s="274"/>
      <c r="C9" s="264"/>
      <c r="D9" s="264"/>
      <c r="E9" s="264"/>
      <c r="F9" s="268"/>
      <c r="G9" s="264"/>
      <c r="H9" s="278"/>
      <c r="I9" s="3" t="s">
        <v>45</v>
      </c>
      <c r="J9" s="3" t="s">
        <v>46</v>
      </c>
      <c r="K9" s="153"/>
    </row>
    <row r="10" spans="2:11" ht="25.5" customHeight="1">
      <c r="B10" s="154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5" t="s">
        <v>36</v>
      </c>
      <c r="J10" s="2">
        <v>8</v>
      </c>
      <c r="K10" s="155">
        <v>9</v>
      </c>
    </row>
    <row r="11" spans="2:12" ht="15.75">
      <c r="B11" s="156" t="s">
        <v>4</v>
      </c>
      <c r="C11" s="6"/>
      <c r="D11" s="6">
        <v>3.7097500000003247</v>
      </c>
      <c r="E11" s="6"/>
      <c r="F11" s="6"/>
      <c r="G11" s="6"/>
      <c r="H11" s="6"/>
      <c r="I11" s="6">
        <v>3.7097500000003247</v>
      </c>
      <c r="J11" s="6"/>
      <c r="K11" s="301">
        <v>1.12383</v>
      </c>
      <c r="L11">
        <v>1000</v>
      </c>
    </row>
    <row r="12" spans="2:12" ht="15.75">
      <c r="B12" s="156" t="s">
        <v>17</v>
      </c>
      <c r="C12" s="6"/>
      <c r="D12" s="6">
        <v>3.389210000000539</v>
      </c>
      <c r="E12" s="6"/>
      <c r="F12" s="6"/>
      <c r="G12" s="6"/>
      <c r="H12" s="6"/>
      <c r="I12" s="6">
        <v>3.389210000000539</v>
      </c>
      <c r="J12" s="6"/>
      <c r="K12" s="301">
        <v>1.1115499999999998</v>
      </c>
      <c r="L12" s="16"/>
    </row>
    <row r="13" spans="2:12" ht="15.75">
      <c r="B13" s="156" t="s">
        <v>18</v>
      </c>
      <c r="C13" s="6"/>
      <c r="D13" s="6">
        <v>3.19090000000024</v>
      </c>
      <c r="E13" s="6"/>
      <c r="F13" s="6"/>
      <c r="G13" s="6"/>
      <c r="H13" s="6"/>
      <c r="I13" s="6">
        <v>3.19090000000024</v>
      </c>
      <c r="J13" s="6"/>
      <c r="K13" s="301">
        <v>1.1052199999999999</v>
      </c>
      <c r="L13" s="16"/>
    </row>
    <row r="14" spans="2:12" ht="15.75">
      <c r="B14" s="156" t="s">
        <v>19</v>
      </c>
      <c r="C14" s="6"/>
      <c r="D14" s="6">
        <v>3.0843700000007517</v>
      </c>
      <c r="E14" s="6"/>
      <c r="F14" s="6"/>
      <c r="G14" s="6"/>
      <c r="H14" s="6"/>
      <c r="I14" s="6">
        <v>3.0843700000007517</v>
      </c>
      <c r="J14" s="6"/>
      <c r="K14" s="301">
        <v>1.10169</v>
      </c>
      <c r="L14" s="16"/>
    </row>
    <row r="15" spans="2:12" ht="15.75">
      <c r="B15" s="156" t="s">
        <v>20</v>
      </c>
      <c r="C15" s="6"/>
      <c r="D15" s="6">
        <v>3.2066000000000177</v>
      </c>
      <c r="E15" s="6"/>
      <c r="F15" s="6"/>
      <c r="G15" s="6"/>
      <c r="H15" s="6"/>
      <c r="I15" s="6">
        <v>3.2066000000000177</v>
      </c>
      <c r="J15" s="6"/>
      <c r="K15" s="301">
        <v>1.0996199999999998</v>
      </c>
      <c r="L15" s="16"/>
    </row>
    <row r="16" spans="2:12" ht="15.75">
      <c r="B16" s="156" t="s">
        <v>21</v>
      </c>
      <c r="C16" s="6"/>
      <c r="D16" s="6">
        <v>3.6765700000003334</v>
      </c>
      <c r="E16" s="6"/>
      <c r="F16" s="6"/>
      <c r="G16" s="6"/>
      <c r="H16" s="6"/>
      <c r="I16" s="6">
        <v>3.6765700000003334</v>
      </c>
      <c r="J16" s="6"/>
      <c r="K16" s="301">
        <v>1.1082100000000001</v>
      </c>
      <c r="L16" s="16"/>
    </row>
    <row r="17" spans="2:12" ht="15.75">
      <c r="B17" s="156" t="s">
        <v>22</v>
      </c>
      <c r="C17" s="6"/>
      <c r="D17" s="6">
        <v>4.518460000000259</v>
      </c>
      <c r="E17" s="6"/>
      <c r="F17" s="6"/>
      <c r="G17" s="6"/>
      <c r="H17" s="6"/>
      <c r="I17" s="6">
        <v>4.518460000000259</v>
      </c>
      <c r="J17" s="6"/>
      <c r="K17" s="301">
        <v>1.2785</v>
      </c>
      <c r="L17" s="16"/>
    </row>
    <row r="18" spans="2:12" ht="15.75">
      <c r="B18" s="156" t="s">
        <v>23</v>
      </c>
      <c r="C18" s="6"/>
      <c r="D18" s="6">
        <v>5.078330000000808</v>
      </c>
      <c r="E18" s="6"/>
      <c r="F18" s="6"/>
      <c r="G18" s="6"/>
      <c r="H18" s="6"/>
      <c r="I18" s="6">
        <v>5.078330000000808</v>
      </c>
      <c r="J18" s="6"/>
      <c r="K18" s="301">
        <v>1.5298900000000002</v>
      </c>
      <c r="L18" s="16"/>
    </row>
    <row r="19" spans="2:12" ht="15.75">
      <c r="B19" s="156" t="s">
        <v>24</v>
      </c>
      <c r="C19" s="6"/>
      <c r="D19" s="6">
        <v>5.121820000000428</v>
      </c>
      <c r="E19" s="6"/>
      <c r="F19" s="6"/>
      <c r="G19" s="6"/>
      <c r="H19" s="6"/>
      <c r="I19" s="6">
        <v>5.121820000000428</v>
      </c>
      <c r="J19" s="6"/>
      <c r="K19" s="301">
        <v>1.8495599999999999</v>
      </c>
      <c r="L19" s="16"/>
    </row>
    <row r="20" spans="2:12" ht="15.75">
      <c r="B20" s="156" t="s">
        <v>28</v>
      </c>
      <c r="C20" s="6"/>
      <c r="D20" s="6">
        <v>5.40929000000012</v>
      </c>
      <c r="E20" s="6"/>
      <c r="F20" s="6"/>
      <c r="G20" s="6"/>
      <c r="H20" s="6"/>
      <c r="I20" s="6">
        <v>5.40929000000012</v>
      </c>
      <c r="J20" s="6"/>
      <c r="K20" s="301">
        <v>2.10119</v>
      </c>
      <c r="L20" s="16"/>
    </row>
    <row r="21" spans="2:12" ht="15.75">
      <c r="B21" s="156" t="s">
        <v>25</v>
      </c>
      <c r="C21" s="6"/>
      <c r="D21" s="6">
        <v>5.446660000000445</v>
      </c>
      <c r="E21" s="6"/>
      <c r="F21" s="6"/>
      <c r="G21" s="6"/>
      <c r="H21" s="6"/>
      <c r="I21" s="6">
        <v>5.446660000000445</v>
      </c>
      <c r="J21" s="6"/>
      <c r="K21" s="301">
        <v>2.39016</v>
      </c>
      <c r="L21" s="16"/>
    </row>
    <row r="22" spans="2:12" ht="15.75">
      <c r="B22" s="156" t="s">
        <v>26</v>
      </c>
      <c r="C22" s="6"/>
      <c r="D22" s="6">
        <v>5.107329999999663</v>
      </c>
      <c r="E22" s="6"/>
      <c r="F22" s="6"/>
      <c r="G22" s="6"/>
      <c r="H22" s="6"/>
      <c r="I22" s="6">
        <v>5.107329999999663</v>
      </c>
      <c r="J22" s="6"/>
      <c r="K22" s="301">
        <v>2.53883</v>
      </c>
      <c r="L22" s="16"/>
    </row>
    <row r="23" spans="2:12" ht="15.75">
      <c r="B23" s="156" t="s">
        <v>27</v>
      </c>
      <c r="C23" s="6"/>
      <c r="D23" s="6">
        <v>5.513040000000408</v>
      </c>
      <c r="E23" s="6"/>
      <c r="F23" s="6"/>
      <c r="G23" s="6"/>
      <c r="H23" s="6"/>
      <c r="I23" s="6">
        <v>5.513040000000408</v>
      </c>
      <c r="J23" s="6"/>
      <c r="K23" s="301">
        <v>2.5232400000000004</v>
      </c>
      <c r="L23" s="16"/>
    </row>
    <row r="24" spans="2:12" ht="15.75">
      <c r="B24" s="157" t="s">
        <v>5</v>
      </c>
      <c r="C24" s="6"/>
      <c r="D24" s="6">
        <v>5.50155000000011</v>
      </c>
      <c r="E24" s="6"/>
      <c r="F24" s="6"/>
      <c r="G24" s="6"/>
      <c r="H24" s="6"/>
      <c r="I24" s="6">
        <v>5.50155000000011</v>
      </c>
      <c r="J24" s="6"/>
      <c r="K24" s="301">
        <v>2.52077</v>
      </c>
      <c r="L24" s="16"/>
    </row>
    <row r="25" spans="2:12" ht="15.75">
      <c r="B25" s="157" t="s">
        <v>6</v>
      </c>
      <c r="C25" s="6"/>
      <c r="D25" s="6">
        <v>5.441690000000278</v>
      </c>
      <c r="E25" s="6"/>
      <c r="F25" s="6"/>
      <c r="G25" s="6"/>
      <c r="H25" s="6"/>
      <c r="I25" s="6">
        <v>5.441690000000278</v>
      </c>
      <c r="J25" s="6"/>
      <c r="K25" s="301">
        <v>2.46649</v>
      </c>
      <c r="L25" s="16"/>
    </row>
    <row r="26" spans="2:12" ht="15.75">
      <c r="B26" s="157" t="s">
        <v>7</v>
      </c>
      <c r="C26" s="6"/>
      <c r="D26" s="6">
        <v>5.515310000001118</v>
      </c>
      <c r="E26" s="6"/>
      <c r="F26" s="6"/>
      <c r="G26" s="6"/>
      <c r="H26" s="6"/>
      <c r="I26" s="6">
        <v>5.515310000001118</v>
      </c>
      <c r="J26" s="6"/>
      <c r="K26" s="301">
        <v>2.4914899999999998</v>
      </c>
      <c r="L26" s="16"/>
    </row>
    <row r="27" spans="2:12" ht="15.75">
      <c r="B27" s="157" t="s">
        <v>8</v>
      </c>
      <c r="C27" s="6"/>
      <c r="D27" s="6">
        <v>5.857489999999981</v>
      </c>
      <c r="E27" s="6"/>
      <c r="F27" s="6"/>
      <c r="G27" s="6"/>
      <c r="H27" s="6"/>
      <c r="I27" s="6">
        <v>5.857489999999981</v>
      </c>
      <c r="J27" s="6"/>
      <c r="K27" s="301">
        <v>2.5070499999999996</v>
      </c>
      <c r="L27" s="16"/>
    </row>
    <row r="28" spans="2:12" ht="15.75">
      <c r="B28" s="157" t="s">
        <v>9</v>
      </c>
      <c r="C28" s="6"/>
      <c r="D28" s="6">
        <v>6.249100000000334</v>
      </c>
      <c r="E28" s="6"/>
      <c r="F28" s="6"/>
      <c r="G28" s="6"/>
      <c r="H28" s="6"/>
      <c r="I28" s="6">
        <v>6.249100000000334</v>
      </c>
      <c r="J28" s="6"/>
      <c r="K28" s="301">
        <v>2.48428</v>
      </c>
      <c r="L28" s="16"/>
    </row>
    <row r="29" spans="2:12" ht="15.75">
      <c r="B29" s="157" t="s">
        <v>10</v>
      </c>
      <c r="C29" s="6"/>
      <c r="D29" s="6">
        <v>6.730580000000109</v>
      </c>
      <c r="E29" s="6"/>
      <c r="F29" s="6"/>
      <c r="G29" s="6"/>
      <c r="H29" s="6"/>
      <c r="I29" s="6">
        <v>6.730580000000109</v>
      </c>
      <c r="J29" s="6"/>
      <c r="K29" s="301">
        <v>2.47398</v>
      </c>
      <c r="L29" s="16"/>
    </row>
    <row r="30" spans="2:12" ht="15.75">
      <c r="B30" s="157" t="s">
        <v>11</v>
      </c>
      <c r="C30" s="6"/>
      <c r="D30" s="6">
        <v>6.9566800000007065</v>
      </c>
      <c r="E30" s="6"/>
      <c r="F30" s="6"/>
      <c r="G30" s="6"/>
      <c r="H30" s="6"/>
      <c r="I30" s="6">
        <v>6.9566800000007065</v>
      </c>
      <c r="J30" s="6"/>
      <c r="K30" s="301">
        <v>2.33608</v>
      </c>
      <c r="L30" s="16"/>
    </row>
    <row r="31" spans="2:12" ht="15.75">
      <c r="B31" s="157" t="s">
        <v>12</v>
      </c>
      <c r="C31" s="6"/>
      <c r="D31" s="6">
        <v>6.812800000000744</v>
      </c>
      <c r="E31" s="6"/>
      <c r="F31" s="6"/>
      <c r="G31" s="6"/>
      <c r="H31" s="6"/>
      <c r="I31" s="6">
        <v>6.812800000000744</v>
      </c>
      <c r="J31" s="6"/>
      <c r="K31" s="301">
        <v>2.0923599999999998</v>
      </c>
      <c r="L31" s="16"/>
    </row>
    <row r="32" spans="2:12" ht="15.75">
      <c r="B32" s="157" t="s">
        <v>13</v>
      </c>
      <c r="C32" s="6"/>
      <c r="D32" s="6">
        <v>6.2482700000005735</v>
      </c>
      <c r="E32" s="6"/>
      <c r="F32" s="6"/>
      <c r="G32" s="6"/>
      <c r="H32" s="6"/>
      <c r="I32" s="6">
        <v>6.2482700000005735</v>
      </c>
      <c r="J32" s="6"/>
      <c r="K32" s="301">
        <v>1.73075</v>
      </c>
      <c r="L32" s="16"/>
    </row>
    <row r="33" spans="2:12" ht="15.75">
      <c r="B33" s="157" t="s">
        <v>14</v>
      </c>
      <c r="C33" s="6"/>
      <c r="D33" s="6">
        <v>5.3410600000006685</v>
      </c>
      <c r="E33" s="6"/>
      <c r="F33" s="6"/>
      <c r="G33" s="6"/>
      <c r="H33" s="6"/>
      <c r="I33" s="6">
        <v>5.3410600000006685</v>
      </c>
      <c r="J33" s="6"/>
      <c r="K33" s="301">
        <v>1.49212</v>
      </c>
      <c r="L33" s="16"/>
    </row>
    <row r="34" spans="2:12" ht="15.75">
      <c r="B34" s="157" t="s">
        <v>15</v>
      </c>
      <c r="C34" s="6"/>
      <c r="D34" s="6">
        <v>4.335420000000744</v>
      </c>
      <c r="E34" s="6"/>
      <c r="F34" s="6"/>
      <c r="G34" s="6"/>
      <c r="H34" s="6"/>
      <c r="I34" s="6">
        <v>4.335420000000744</v>
      </c>
      <c r="J34" s="6"/>
      <c r="K34" s="301">
        <v>1.2564799999999998</v>
      </c>
      <c r="L34" s="16"/>
    </row>
    <row r="35" spans="2:12" ht="70.5" customHeight="1">
      <c r="B35" s="158" t="s">
        <v>104</v>
      </c>
      <c r="C35" s="5"/>
      <c r="D35" s="191">
        <f>SUM(D11:D34)</f>
        <v>121.44228000000969</v>
      </c>
      <c r="E35" s="191"/>
      <c r="F35" s="191"/>
      <c r="G35" s="191"/>
      <c r="H35" s="191"/>
      <c r="I35" s="191">
        <f>SUM(I11:I34)</f>
        <v>121.44228000000969</v>
      </c>
      <c r="J35" s="191"/>
      <c r="K35" s="192">
        <f>SUM(K11:K34)</f>
        <v>44.71334</v>
      </c>
      <c r="L35" s="150"/>
    </row>
    <row r="36" spans="2:11" ht="14.25" customHeight="1">
      <c r="B36" s="265"/>
      <c r="C36" s="266"/>
      <c r="D36" s="266"/>
      <c r="E36" s="266"/>
      <c r="F36" s="266"/>
      <c r="G36" s="266"/>
      <c r="H36" s="266"/>
      <c r="I36" s="266"/>
      <c r="J36" s="266"/>
      <c r="K36" s="267"/>
    </row>
    <row r="37" spans="2:11" ht="21.75" customHeight="1">
      <c r="B37" s="279" t="s">
        <v>199</v>
      </c>
      <c r="C37" s="280"/>
      <c r="D37" s="280"/>
      <c r="E37" s="280"/>
      <c r="F37" s="280"/>
      <c r="G37" s="280"/>
      <c r="H37" s="280"/>
      <c r="I37" s="280"/>
      <c r="J37" s="280"/>
      <c r="K37" s="281"/>
    </row>
    <row r="38" spans="2:11" ht="11.25" customHeight="1">
      <c r="B38" s="159"/>
      <c r="C38" s="17"/>
      <c r="D38" s="17"/>
      <c r="E38" s="17"/>
      <c r="F38" s="17"/>
      <c r="G38" s="17"/>
      <c r="H38" s="17"/>
      <c r="I38" s="17"/>
      <c r="J38" s="17"/>
      <c r="K38" s="160"/>
    </row>
    <row r="39" spans="2:11" ht="57.75" customHeight="1" thickBot="1">
      <c r="B39" s="261" t="s">
        <v>196</v>
      </c>
      <c r="C39" s="262"/>
      <c r="D39" s="262"/>
      <c r="E39" s="262"/>
      <c r="F39" s="262"/>
      <c r="G39" s="262"/>
      <c r="H39" s="262"/>
      <c r="I39" s="262"/>
      <c r="J39" s="262"/>
      <c r="K39" s="263"/>
    </row>
    <row r="40" spans="2:11" ht="39" customHeight="1">
      <c r="B40" s="7"/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19">
    <mergeCell ref="B37:K37"/>
    <mergeCell ref="I6:J7"/>
    <mergeCell ref="C8:C9"/>
    <mergeCell ref="G8:G9"/>
    <mergeCell ref="I3:K3"/>
    <mergeCell ref="B4:K4"/>
    <mergeCell ref="B5:K5"/>
    <mergeCell ref="C6:D7"/>
    <mergeCell ref="E6:H7"/>
    <mergeCell ref="B39:K39"/>
    <mergeCell ref="D8:D9"/>
    <mergeCell ref="B36:K36"/>
    <mergeCell ref="E8:E9"/>
    <mergeCell ref="F8:F9"/>
    <mergeCell ref="I1:K1"/>
    <mergeCell ref="B3:G3"/>
    <mergeCell ref="B6:B9"/>
    <mergeCell ref="K6:K7"/>
    <mergeCell ref="H8:H9"/>
  </mergeCells>
  <printOptions horizontalCentered="1" verticalCentered="1"/>
  <pageMargins left="0.2755905511811024" right="0.2362204724409449" top="0" bottom="0" header="0" footer="0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37"/>
  <sheetViews>
    <sheetView tabSelected="1" zoomScaleSheetLayoutView="100" zoomScalePageLayoutView="0" workbookViewId="0" topLeftCell="A14">
      <selection activeCell="C1" sqref="C1:R37"/>
    </sheetView>
  </sheetViews>
  <sheetFormatPr defaultColWidth="9.140625" defaultRowHeight="15"/>
  <cols>
    <col min="1" max="1" width="0.13671875" style="0" customWidth="1"/>
    <col min="2" max="2" width="3.421875" style="0" customWidth="1"/>
    <col min="3" max="3" width="14.57421875" style="0" customWidth="1"/>
    <col min="4" max="4" width="10.421875" style="0" customWidth="1"/>
    <col min="5" max="5" width="12.140625" style="0" customWidth="1"/>
    <col min="6" max="6" width="10.00390625" style="0" customWidth="1"/>
    <col min="7" max="7" width="8.7109375" style="0" customWidth="1"/>
    <col min="8" max="8" width="20.28125" style="0" customWidth="1"/>
    <col min="9" max="9" width="19.28125" style="0" customWidth="1"/>
    <col min="10" max="10" width="20.8515625" style="0" customWidth="1"/>
    <col min="11" max="11" width="20.140625" style="0" customWidth="1"/>
    <col min="12" max="12" width="18.140625" style="0" customWidth="1"/>
    <col min="13" max="13" width="15.7109375" style="0" customWidth="1"/>
    <col min="14" max="14" width="16.28125" style="0" customWidth="1"/>
    <col min="15" max="15" width="17.28125" style="0" customWidth="1"/>
    <col min="16" max="16" width="17.8515625" style="0" customWidth="1"/>
    <col min="17" max="17" width="12.28125" style="0" customWidth="1"/>
    <col min="18" max="18" width="2.7109375" style="0" customWidth="1"/>
    <col min="19" max="22" width="9.140625" style="0" customWidth="1"/>
  </cols>
  <sheetData>
    <row r="1" spans="3:18" ht="41.25" customHeight="1" thickTop="1">
      <c r="C1" s="296" t="s">
        <v>47</v>
      </c>
      <c r="D1" s="297"/>
      <c r="E1" s="297"/>
      <c r="F1" s="297"/>
      <c r="G1" s="297"/>
      <c r="H1" s="297"/>
      <c r="I1" s="297"/>
      <c r="J1" s="144"/>
      <c r="K1" s="144"/>
      <c r="L1" s="144"/>
      <c r="M1" s="144"/>
      <c r="N1" s="144"/>
      <c r="O1" s="295" t="s">
        <v>116</v>
      </c>
      <c r="P1" s="295"/>
      <c r="Q1" s="142"/>
      <c r="R1" s="143"/>
    </row>
    <row r="2" spans="3:18" s="24" customFormat="1" ht="18" customHeight="1">
      <c r="C2" s="298" t="s">
        <v>203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</row>
    <row r="3" spans="3:18" s="24" customFormat="1" ht="18.75" customHeight="1" thickBot="1">
      <c r="C3" s="298" t="s">
        <v>204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3:18" ht="35.25" customHeight="1">
      <c r="C4" s="315" t="s">
        <v>0</v>
      </c>
      <c r="D4" s="318" t="s">
        <v>51</v>
      </c>
      <c r="E4" s="318"/>
      <c r="F4" s="318"/>
      <c r="G4" s="318"/>
      <c r="H4" s="318" t="s">
        <v>52</v>
      </c>
      <c r="I4" s="318"/>
      <c r="J4" s="318"/>
      <c r="K4" s="318"/>
      <c r="L4" s="318"/>
      <c r="M4" s="318"/>
      <c r="N4" s="318"/>
      <c r="O4" s="318"/>
      <c r="P4" s="318"/>
      <c r="Q4" s="318"/>
      <c r="R4" s="333"/>
    </row>
    <row r="5" spans="3:18" ht="37.5" customHeight="1">
      <c r="C5" s="321"/>
      <c r="D5" s="218" t="s">
        <v>53</v>
      </c>
      <c r="E5" s="218" t="s">
        <v>53</v>
      </c>
      <c r="F5" s="218" t="s">
        <v>53</v>
      </c>
      <c r="G5" s="218" t="s">
        <v>54</v>
      </c>
      <c r="H5" s="218" t="s">
        <v>151</v>
      </c>
      <c r="I5" s="218" t="s">
        <v>144</v>
      </c>
      <c r="J5" s="218" t="s">
        <v>145</v>
      </c>
      <c r="K5" s="218" t="s">
        <v>152</v>
      </c>
      <c r="L5" s="218" t="s">
        <v>146</v>
      </c>
      <c r="M5" s="218" t="s">
        <v>148</v>
      </c>
      <c r="N5" s="218" t="s">
        <v>147</v>
      </c>
      <c r="O5" s="218" t="s">
        <v>149</v>
      </c>
      <c r="P5" s="218" t="s">
        <v>150</v>
      </c>
      <c r="Q5" s="218" t="s">
        <v>37</v>
      </c>
      <c r="R5" s="141"/>
    </row>
    <row r="6" spans="3:18" ht="78" customHeight="1">
      <c r="C6" s="334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141"/>
    </row>
    <row r="7" spans="3:18" ht="14.25" customHeight="1">
      <c r="C7" s="334"/>
      <c r="D7" s="217">
        <v>1</v>
      </c>
      <c r="E7" s="217">
        <v>2</v>
      </c>
      <c r="F7" s="217">
        <v>3</v>
      </c>
      <c r="G7" s="217">
        <v>4</v>
      </c>
      <c r="H7" s="217">
        <v>1</v>
      </c>
      <c r="I7" s="217">
        <v>2</v>
      </c>
      <c r="J7" s="217">
        <v>3</v>
      </c>
      <c r="K7" s="217">
        <v>4</v>
      </c>
      <c r="L7" s="217">
        <v>5</v>
      </c>
      <c r="M7" s="217">
        <v>6</v>
      </c>
      <c r="N7" s="217">
        <v>7</v>
      </c>
      <c r="O7" s="217">
        <v>8</v>
      </c>
      <c r="P7" s="217">
        <v>9</v>
      </c>
      <c r="Q7" s="217">
        <v>10</v>
      </c>
      <c r="R7" s="141"/>
    </row>
    <row r="8" spans="3:18" ht="3.75" customHeight="1">
      <c r="C8" s="334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41"/>
    </row>
    <row r="9" spans="3:19" ht="15.75">
      <c r="C9" s="157" t="s">
        <v>4</v>
      </c>
      <c r="D9" s="4"/>
      <c r="E9" s="4"/>
      <c r="F9" s="4"/>
      <c r="G9" s="4"/>
      <c r="H9" s="331">
        <v>0.11291999999999999</v>
      </c>
      <c r="I9" s="331">
        <v>0.16391999999999998</v>
      </c>
      <c r="J9" s="331">
        <v>0.03228</v>
      </c>
      <c r="K9" s="331">
        <v>0.38975</v>
      </c>
      <c r="L9" s="331">
        <v>0.09359999999999999</v>
      </c>
      <c r="M9" s="331">
        <v>0.13488</v>
      </c>
      <c r="N9" s="331">
        <v>0.10591999999999999</v>
      </c>
      <c r="O9" s="331">
        <v>0.0244</v>
      </c>
      <c r="P9" s="331">
        <v>0.06616</v>
      </c>
      <c r="Q9" s="4">
        <f>H9+I9+J9+K9+L9+M9+N9+O9+P9</f>
        <v>1.1238299999999999</v>
      </c>
      <c r="R9" s="141"/>
      <c r="S9" s="332">
        <v>1000</v>
      </c>
    </row>
    <row r="10" spans="3:18" ht="15.75">
      <c r="C10" s="156" t="s">
        <v>17</v>
      </c>
      <c r="D10" s="4"/>
      <c r="E10" s="4"/>
      <c r="F10" s="4"/>
      <c r="G10" s="4"/>
      <c r="H10" s="331">
        <v>0.1104</v>
      </c>
      <c r="I10" s="331">
        <v>0.15072</v>
      </c>
      <c r="J10" s="331">
        <v>0.032159999999999994</v>
      </c>
      <c r="K10" s="331">
        <v>0.39275</v>
      </c>
      <c r="L10" s="331">
        <v>0.09264</v>
      </c>
      <c r="M10" s="331">
        <v>0.1412</v>
      </c>
      <c r="N10" s="331">
        <v>0.10016000000000001</v>
      </c>
      <c r="O10" s="331">
        <v>0.024</v>
      </c>
      <c r="P10" s="331">
        <v>0.06752</v>
      </c>
      <c r="Q10" s="4">
        <f aca="true" t="shared" si="0" ref="Q10:Q32">H10+I10+J10+K10+L10+M10+N10+O10+P10</f>
        <v>1.11155</v>
      </c>
      <c r="R10" s="141"/>
    </row>
    <row r="11" spans="3:18" ht="15.75">
      <c r="C11" s="156" t="s">
        <v>18</v>
      </c>
      <c r="D11" s="4"/>
      <c r="E11" s="4"/>
      <c r="F11" s="4"/>
      <c r="G11" s="4"/>
      <c r="H11" s="331">
        <v>0.1104</v>
      </c>
      <c r="I11" s="331">
        <v>0.14615999999999998</v>
      </c>
      <c r="J11" s="331">
        <v>0.03108</v>
      </c>
      <c r="K11" s="331">
        <v>0.40149999999999997</v>
      </c>
      <c r="L11" s="331">
        <v>0.09183999999999999</v>
      </c>
      <c r="M11" s="331">
        <v>0.13128</v>
      </c>
      <c r="N11" s="331">
        <v>0.10352000000000001</v>
      </c>
      <c r="O11" s="331">
        <v>0.0244</v>
      </c>
      <c r="P11" s="331">
        <v>0.06503999999999999</v>
      </c>
      <c r="Q11" s="4">
        <f t="shared" si="0"/>
        <v>1.10522</v>
      </c>
      <c r="R11" s="141"/>
    </row>
    <row r="12" spans="3:18" ht="15.75">
      <c r="C12" s="156" t="s">
        <v>19</v>
      </c>
      <c r="D12" s="4"/>
      <c r="E12" s="4"/>
      <c r="F12" s="4"/>
      <c r="G12" s="4"/>
      <c r="H12" s="331">
        <v>0.1134</v>
      </c>
      <c r="I12" s="331">
        <v>0.14232000000000003</v>
      </c>
      <c r="J12" s="331">
        <v>0.029400000000000003</v>
      </c>
      <c r="K12" s="331">
        <v>0.40825</v>
      </c>
      <c r="L12" s="331">
        <v>0.09312000000000001</v>
      </c>
      <c r="M12" s="331">
        <v>0.12656</v>
      </c>
      <c r="N12" s="331">
        <v>0.10016000000000001</v>
      </c>
      <c r="O12" s="331">
        <v>0.0228</v>
      </c>
      <c r="P12" s="331">
        <v>0.06568</v>
      </c>
      <c r="Q12" s="4">
        <f t="shared" si="0"/>
        <v>1.1016899999999998</v>
      </c>
      <c r="R12" s="141"/>
    </row>
    <row r="13" spans="3:18" ht="15.75">
      <c r="C13" s="156" t="s">
        <v>20</v>
      </c>
      <c r="D13" s="4"/>
      <c r="E13" s="4"/>
      <c r="F13" s="4"/>
      <c r="G13" s="4"/>
      <c r="H13" s="331">
        <v>0.11016</v>
      </c>
      <c r="I13" s="331">
        <v>0.14579999999999999</v>
      </c>
      <c r="J13" s="331">
        <v>0.02964</v>
      </c>
      <c r="K13" s="331">
        <v>0.4145</v>
      </c>
      <c r="L13" s="331">
        <v>0.08992</v>
      </c>
      <c r="M13" s="331">
        <v>0.12472000000000001</v>
      </c>
      <c r="N13" s="331">
        <v>0.09759999999999999</v>
      </c>
      <c r="O13" s="331">
        <v>0.0224</v>
      </c>
      <c r="P13" s="331">
        <v>0.06488</v>
      </c>
      <c r="Q13" s="4">
        <f t="shared" si="0"/>
        <v>1.09962</v>
      </c>
      <c r="R13" s="141"/>
    </row>
    <row r="14" spans="3:18" ht="15.75">
      <c r="C14" s="156" t="s">
        <v>21</v>
      </c>
      <c r="D14" s="4"/>
      <c r="E14" s="4"/>
      <c r="F14" s="4"/>
      <c r="G14" s="4"/>
      <c r="H14" s="331">
        <v>0.12251999999999999</v>
      </c>
      <c r="I14" s="331">
        <v>0.14916</v>
      </c>
      <c r="J14" s="331">
        <v>0.02952</v>
      </c>
      <c r="K14" s="331">
        <v>0.40525</v>
      </c>
      <c r="L14" s="331">
        <v>0.09232000000000001</v>
      </c>
      <c r="M14" s="331">
        <v>0.12776</v>
      </c>
      <c r="N14" s="331">
        <v>0.09519999999999999</v>
      </c>
      <c r="O14" s="331">
        <v>0.022</v>
      </c>
      <c r="P14" s="331">
        <v>0.06448000000000001</v>
      </c>
      <c r="Q14" s="4">
        <f t="shared" si="0"/>
        <v>1.1082100000000001</v>
      </c>
      <c r="R14" s="141"/>
    </row>
    <row r="15" spans="3:18" ht="15.75">
      <c r="C15" s="156" t="s">
        <v>22</v>
      </c>
      <c r="D15" s="4"/>
      <c r="E15" s="4"/>
      <c r="F15" s="4"/>
      <c r="G15" s="4"/>
      <c r="H15" s="331">
        <v>0.14664000000000002</v>
      </c>
      <c r="I15" s="331">
        <v>0.1512</v>
      </c>
      <c r="J15" s="331">
        <v>0.032159999999999994</v>
      </c>
      <c r="K15" s="331">
        <v>0.5085</v>
      </c>
      <c r="L15" s="331">
        <v>0.09232000000000001</v>
      </c>
      <c r="M15" s="331">
        <v>0.13248</v>
      </c>
      <c r="N15" s="331">
        <v>0.1024</v>
      </c>
      <c r="O15" s="331">
        <v>0.03</v>
      </c>
      <c r="P15" s="331">
        <v>0.0828</v>
      </c>
      <c r="Q15" s="4">
        <f t="shared" si="0"/>
        <v>1.2785</v>
      </c>
      <c r="R15" s="141"/>
    </row>
    <row r="16" spans="3:18" ht="15.75">
      <c r="C16" s="156" t="s">
        <v>23</v>
      </c>
      <c r="D16" s="4"/>
      <c r="E16" s="4"/>
      <c r="F16" s="4"/>
      <c r="G16" s="4"/>
      <c r="H16" s="331">
        <v>0.22068000000000002</v>
      </c>
      <c r="I16" s="331">
        <v>0.18108000000000002</v>
      </c>
      <c r="J16" s="331">
        <v>0.03504</v>
      </c>
      <c r="K16" s="331">
        <v>0.57125</v>
      </c>
      <c r="L16" s="331">
        <v>0.09295999999999999</v>
      </c>
      <c r="M16" s="331">
        <v>0.16216</v>
      </c>
      <c r="N16" s="331">
        <v>0.12496</v>
      </c>
      <c r="O16" s="331">
        <v>0.0412</v>
      </c>
      <c r="P16" s="331">
        <v>0.10056</v>
      </c>
      <c r="Q16" s="4">
        <f t="shared" si="0"/>
        <v>1.52989</v>
      </c>
      <c r="R16" s="141"/>
    </row>
    <row r="17" spans="3:18" ht="15.75">
      <c r="C17" s="156" t="s">
        <v>24</v>
      </c>
      <c r="D17" s="4"/>
      <c r="E17" s="4"/>
      <c r="F17" s="4"/>
      <c r="G17" s="4"/>
      <c r="H17" s="331">
        <v>0.23604</v>
      </c>
      <c r="I17" s="331">
        <v>0.2268</v>
      </c>
      <c r="J17" s="331">
        <v>0.047880000000000006</v>
      </c>
      <c r="K17" s="331">
        <v>0.659</v>
      </c>
      <c r="L17" s="331">
        <v>0.10368</v>
      </c>
      <c r="M17" s="331">
        <v>0.21480000000000002</v>
      </c>
      <c r="N17" s="331">
        <v>0.18080000000000002</v>
      </c>
      <c r="O17" s="331">
        <v>0.0612</v>
      </c>
      <c r="P17" s="331">
        <v>0.11936000000000001</v>
      </c>
      <c r="Q17" s="4">
        <f t="shared" si="0"/>
        <v>1.84956</v>
      </c>
      <c r="R17" s="141"/>
    </row>
    <row r="18" spans="3:18" ht="15.75">
      <c r="C18" s="156" t="s">
        <v>28</v>
      </c>
      <c r="D18" s="4"/>
      <c r="E18" s="4"/>
      <c r="F18" s="4"/>
      <c r="G18" s="4"/>
      <c r="H18" s="331">
        <v>0.23892</v>
      </c>
      <c r="I18" s="331">
        <v>0.24864</v>
      </c>
      <c r="J18" s="331">
        <v>0.09936</v>
      </c>
      <c r="K18" s="331">
        <v>0.75275</v>
      </c>
      <c r="L18" s="331">
        <v>0.12448000000000002</v>
      </c>
      <c r="M18" s="331">
        <v>0.21095999999999998</v>
      </c>
      <c r="N18" s="331">
        <v>0.23616000000000004</v>
      </c>
      <c r="O18" s="331">
        <v>0.0412</v>
      </c>
      <c r="P18" s="331">
        <v>0.14872</v>
      </c>
      <c r="Q18" s="4">
        <f t="shared" si="0"/>
        <v>2.10119</v>
      </c>
      <c r="R18" s="141"/>
    </row>
    <row r="19" spans="3:18" ht="15.75">
      <c r="C19" s="156" t="s">
        <v>25</v>
      </c>
      <c r="D19" s="4"/>
      <c r="E19" s="4"/>
      <c r="F19" s="4"/>
      <c r="G19" s="4"/>
      <c r="H19" s="331">
        <v>0.24312</v>
      </c>
      <c r="I19" s="331">
        <v>0.2922</v>
      </c>
      <c r="J19" s="331">
        <v>0.15744000000000002</v>
      </c>
      <c r="K19" s="331">
        <v>0.813</v>
      </c>
      <c r="L19" s="331">
        <v>0.13488</v>
      </c>
      <c r="M19" s="331">
        <v>0.21624</v>
      </c>
      <c r="N19" s="331">
        <v>0.29728</v>
      </c>
      <c r="O19" s="331">
        <v>0.0712</v>
      </c>
      <c r="P19" s="331">
        <v>0.1648</v>
      </c>
      <c r="Q19" s="4">
        <f t="shared" si="0"/>
        <v>2.3901600000000003</v>
      </c>
      <c r="R19" s="141"/>
    </row>
    <row r="20" spans="3:18" ht="15.75">
      <c r="C20" s="156" t="s">
        <v>26</v>
      </c>
      <c r="D20" s="4"/>
      <c r="E20" s="4"/>
      <c r="F20" s="4"/>
      <c r="G20" s="4"/>
      <c r="H20" s="331">
        <v>0.25079999999999997</v>
      </c>
      <c r="I20" s="331">
        <v>0.33168</v>
      </c>
      <c r="J20" s="331">
        <v>0.16620000000000001</v>
      </c>
      <c r="K20" s="331">
        <v>0.81575</v>
      </c>
      <c r="L20" s="331">
        <v>0.15552</v>
      </c>
      <c r="M20" s="331">
        <v>0.2568</v>
      </c>
      <c r="N20" s="331">
        <v>0.31184</v>
      </c>
      <c r="O20" s="331">
        <v>0.0828</v>
      </c>
      <c r="P20" s="331">
        <v>0.16744</v>
      </c>
      <c r="Q20" s="4">
        <f t="shared" si="0"/>
        <v>2.53883</v>
      </c>
      <c r="R20" s="141"/>
    </row>
    <row r="21" spans="3:18" ht="15.75">
      <c r="C21" s="156" t="s">
        <v>27</v>
      </c>
      <c r="D21" s="4"/>
      <c r="E21" s="4"/>
      <c r="F21" s="4"/>
      <c r="G21" s="4"/>
      <c r="H21" s="331">
        <v>0.24731999999999998</v>
      </c>
      <c r="I21" s="331">
        <v>0.34656</v>
      </c>
      <c r="J21" s="331">
        <v>0.16860000000000003</v>
      </c>
      <c r="K21" s="331">
        <v>0.7929999999999999</v>
      </c>
      <c r="L21" s="331">
        <v>0.14624</v>
      </c>
      <c r="M21" s="331">
        <v>0.23608</v>
      </c>
      <c r="N21" s="331">
        <v>0.32927999999999996</v>
      </c>
      <c r="O21" s="331">
        <v>0.0828</v>
      </c>
      <c r="P21" s="331">
        <v>0.17336</v>
      </c>
      <c r="Q21" s="4">
        <f t="shared" si="0"/>
        <v>2.5232400000000004</v>
      </c>
      <c r="R21" s="141"/>
    </row>
    <row r="22" spans="3:18" ht="15.75">
      <c r="C22" s="157" t="s">
        <v>5</v>
      </c>
      <c r="D22" s="4"/>
      <c r="E22" s="4"/>
      <c r="F22" s="4"/>
      <c r="G22" s="4"/>
      <c r="H22" s="331">
        <v>0.24852000000000002</v>
      </c>
      <c r="I22" s="331">
        <v>0.34848</v>
      </c>
      <c r="J22" s="331">
        <v>0.17495999999999998</v>
      </c>
      <c r="K22" s="331">
        <v>0.7902499999999999</v>
      </c>
      <c r="L22" s="331">
        <v>0.1456</v>
      </c>
      <c r="M22" s="331">
        <v>0.24719999999999998</v>
      </c>
      <c r="N22" s="331">
        <v>0.31792</v>
      </c>
      <c r="O22" s="331">
        <v>0.0728</v>
      </c>
      <c r="P22" s="331">
        <v>0.17504000000000003</v>
      </c>
      <c r="Q22" s="4">
        <f t="shared" si="0"/>
        <v>2.5207699999999997</v>
      </c>
      <c r="R22" s="141"/>
    </row>
    <row r="23" spans="3:18" ht="15.75">
      <c r="C23" s="157" t="s">
        <v>6</v>
      </c>
      <c r="D23" s="4"/>
      <c r="E23" s="4"/>
      <c r="F23" s="4"/>
      <c r="G23" s="4"/>
      <c r="H23" s="331">
        <v>0.25044</v>
      </c>
      <c r="I23" s="331">
        <v>0.34464</v>
      </c>
      <c r="J23" s="331">
        <v>0.16836</v>
      </c>
      <c r="K23" s="331">
        <v>0.7602499999999999</v>
      </c>
      <c r="L23" s="331">
        <v>0.14432</v>
      </c>
      <c r="M23" s="331">
        <v>0.24631999999999996</v>
      </c>
      <c r="N23" s="331">
        <v>0.31295999999999996</v>
      </c>
      <c r="O23" s="331">
        <v>0.0724</v>
      </c>
      <c r="P23" s="331">
        <v>0.1668</v>
      </c>
      <c r="Q23" s="4">
        <f t="shared" si="0"/>
        <v>2.46649</v>
      </c>
      <c r="R23" s="141"/>
    </row>
    <row r="24" spans="3:18" ht="15.75">
      <c r="C24" s="157" t="s">
        <v>7</v>
      </c>
      <c r="D24" s="4"/>
      <c r="E24" s="4"/>
      <c r="F24" s="4"/>
      <c r="G24" s="4"/>
      <c r="H24" s="331">
        <v>0.24612</v>
      </c>
      <c r="I24" s="331">
        <v>0.3524399999999999</v>
      </c>
      <c r="J24" s="331">
        <v>0.16932</v>
      </c>
      <c r="K24" s="331">
        <v>0.76025</v>
      </c>
      <c r="L24" s="331">
        <v>0.14752</v>
      </c>
      <c r="M24" s="331">
        <v>0.25983999999999996</v>
      </c>
      <c r="N24" s="331">
        <v>0.32383999999999996</v>
      </c>
      <c r="O24" s="331">
        <v>0.0704</v>
      </c>
      <c r="P24" s="331">
        <v>0.16176</v>
      </c>
      <c r="Q24" s="4">
        <f t="shared" si="0"/>
        <v>2.49149</v>
      </c>
      <c r="R24" s="141"/>
    </row>
    <row r="25" spans="3:18" ht="15.75">
      <c r="C25" s="157" t="s">
        <v>8</v>
      </c>
      <c r="D25" s="4"/>
      <c r="E25" s="4"/>
      <c r="F25" s="4"/>
      <c r="G25" s="4"/>
      <c r="H25" s="331">
        <v>0.24996</v>
      </c>
      <c r="I25" s="331">
        <v>0.33527999999999997</v>
      </c>
      <c r="J25" s="331">
        <v>0.17172</v>
      </c>
      <c r="K25" s="331">
        <v>0.7702500000000001</v>
      </c>
      <c r="L25" s="331">
        <v>0.15552000000000002</v>
      </c>
      <c r="M25" s="331">
        <v>0.2536</v>
      </c>
      <c r="N25" s="331">
        <v>0.32464</v>
      </c>
      <c r="O25" s="331">
        <v>0.074</v>
      </c>
      <c r="P25" s="331">
        <v>0.17208</v>
      </c>
      <c r="Q25" s="4">
        <f t="shared" si="0"/>
        <v>2.5070500000000004</v>
      </c>
      <c r="R25" s="141"/>
    </row>
    <row r="26" spans="3:18" ht="15.75">
      <c r="C26" s="157" t="s">
        <v>9</v>
      </c>
      <c r="D26" s="4"/>
      <c r="E26" s="4"/>
      <c r="F26" s="4"/>
      <c r="G26" s="4"/>
      <c r="H26" s="331">
        <v>0.25452</v>
      </c>
      <c r="I26" s="331">
        <v>0.34788</v>
      </c>
      <c r="J26" s="331">
        <v>0.17267999999999997</v>
      </c>
      <c r="K26" s="331">
        <v>0.7440000000000001</v>
      </c>
      <c r="L26" s="331">
        <v>0.17023999999999997</v>
      </c>
      <c r="M26" s="331">
        <v>0.23528000000000002</v>
      </c>
      <c r="N26" s="331">
        <v>0.32480000000000003</v>
      </c>
      <c r="O26" s="331">
        <v>0.0724</v>
      </c>
      <c r="P26" s="331">
        <v>0.16248</v>
      </c>
      <c r="Q26" s="4">
        <f t="shared" si="0"/>
        <v>2.48428</v>
      </c>
      <c r="R26" s="141"/>
    </row>
    <row r="27" spans="3:18" ht="15.75">
      <c r="C27" s="157" t="s">
        <v>10</v>
      </c>
      <c r="D27" s="4"/>
      <c r="E27" s="4"/>
      <c r="F27" s="4"/>
      <c r="G27" s="4"/>
      <c r="H27" s="331">
        <v>0.261</v>
      </c>
      <c r="I27" s="331">
        <v>0.3402</v>
      </c>
      <c r="J27" s="331">
        <v>0.16608000000000003</v>
      </c>
      <c r="K27" s="331">
        <v>0.7355</v>
      </c>
      <c r="L27" s="331">
        <v>0.16735999999999998</v>
      </c>
      <c r="M27" s="331">
        <v>0.24127999999999997</v>
      </c>
      <c r="N27" s="331">
        <v>0.32704</v>
      </c>
      <c r="O27" s="331">
        <v>0.0792</v>
      </c>
      <c r="P27" s="331">
        <v>0.15632</v>
      </c>
      <c r="Q27" s="4">
        <f t="shared" si="0"/>
        <v>2.47398</v>
      </c>
      <c r="R27" s="141"/>
    </row>
    <row r="28" spans="3:18" ht="15.75">
      <c r="C28" s="157" t="s">
        <v>11</v>
      </c>
      <c r="D28" s="4"/>
      <c r="E28" s="4"/>
      <c r="F28" s="4"/>
      <c r="G28" s="4"/>
      <c r="H28" s="331">
        <v>0.25152</v>
      </c>
      <c r="I28" s="331">
        <v>0.31872</v>
      </c>
      <c r="J28" s="331">
        <v>0.11436</v>
      </c>
      <c r="K28" s="331">
        <v>0.737</v>
      </c>
      <c r="L28" s="331">
        <v>0.15216</v>
      </c>
      <c r="M28" s="331">
        <v>0.22712000000000004</v>
      </c>
      <c r="N28" s="331">
        <v>0.31568</v>
      </c>
      <c r="O28" s="331">
        <v>0.0708</v>
      </c>
      <c r="P28" s="331">
        <v>0.14872</v>
      </c>
      <c r="Q28" s="4">
        <f t="shared" si="0"/>
        <v>2.3360800000000004</v>
      </c>
      <c r="R28" s="141"/>
    </row>
    <row r="29" spans="3:18" ht="15.75">
      <c r="C29" s="157" t="s">
        <v>12</v>
      </c>
      <c r="D29" s="4"/>
      <c r="E29" s="4"/>
      <c r="F29" s="4"/>
      <c r="G29" s="4"/>
      <c r="H29" s="331">
        <v>0.23748000000000002</v>
      </c>
      <c r="I29" s="331">
        <v>0.28956</v>
      </c>
      <c r="J29" s="331">
        <v>0.06804</v>
      </c>
      <c r="K29" s="331">
        <v>0.712</v>
      </c>
      <c r="L29" s="331">
        <v>0.13888</v>
      </c>
      <c r="M29" s="331">
        <v>0.22160000000000002</v>
      </c>
      <c r="N29" s="331">
        <v>0.25552</v>
      </c>
      <c r="O29" s="331">
        <v>0.0488</v>
      </c>
      <c r="P29" s="331">
        <v>0.12047999999999999</v>
      </c>
      <c r="Q29" s="4">
        <f t="shared" si="0"/>
        <v>2.0923599999999998</v>
      </c>
      <c r="R29" s="141"/>
    </row>
    <row r="30" spans="3:18" ht="15.75">
      <c r="C30" s="157" t="s">
        <v>13</v>
      </c>
      <c r="D30" s="4"/>
      <c r="E30" s="4"/>
      <c r="F30" s="4"/>
      <c r="G30" s="4"/>
      <c r="H30" s="331">
        <v>0.21828</v>
      </c>
      <c r="I30" s="331">
        <v>0.24300000000000002</v>
      </c>
      <c r="J30" s="331">
        <v>0.03588</v>
      </c>
      <c r="K30" s="331">
        <v>0.58975</v>
      </c>
      <c r="L30" s="331">
        <v>0.12671999999999997</v>
      </c>
      <c r="M30" s="331">
        <v>0.1988</v>
      </c>
      <c r="N30" s="331">
        <v>0.17104</v>
      </c>
      <c r="O30" s="331">
        <v>0.0424</v>
      </c>
      <c r="P30" s="331">
        <v>0.10488</v>
      </c>
      <c r="Q30" s="4">
        <f t="shared" si="0"/>
        <v>1.7307500000000002</v>
      </c>
      <c r="R30" s="141"/>
    </row>
    <row r="31" spans="3:18" ht="15.75">
      <c r="C31" s="157" t="s">
        <v>14</v>
      </c>
      <c r="D31" s="4"/>
      <c r="E31" s="4"/>
      <c r="F31" s="4"/>
      <c r="G31" s="4"/>
      <c r="H31" s="331">
        <v>0.19956000000000002</v>
      </c>
      <c r="I31" s="331">
        <v>0.213</v>
      </c>
      <c r="J31" s="331">
        <v>0.028920000000000005</v>
      </c>
      <c r="K31" s="331">
        <v>0.516</v>
      </c>
      <c r="L31" s="331">
        <v>0.11663999999999998</v>
      </c>
      <c r="M31" s="331">
        <v>0.14704</v>
      </c>
      <c r="N31" s="331">
        <v>0.15152000000000002</v>
      </c>
      <c r="O31" s="331">
        <v>0.0408</v>
      </c>
      <c r="P31" s="331">
        <v>0.07864</v>
      </c>
      <c r="Q31" s="4">
        <f t="shared" si="0"/>
        <v>1.4921200000000003</v>
      </c>
      <c r="R31" s="141"/>
    </row>
    <row r="32" spans="3:18" ht="15.75">
      <c r="C32" s="157" t="s">
        <v>15</v>
      </c>
      <c r="D32" s="4"/>
      <c r="E32" s="4"/>
      <c r="F32" s="4"/>
      <c r="G32" s="4"/>
      <c r="H32" s="331">
        <v>0.13932000000000003</v>
      </c>
      <c r="I32" s="331">
        <v>0.17292000000000002</v>
      </c>
      <c r="J32" s="331">
        <v>0.02904</v>
      </c>
      <c r="K32" s="331">
        <v>0.432</v>
      </c>
      <c r="L32" s="331">
        <v>0.11456000000000001</v>
      </c>
      <c r="M32" s="331">
        <v>0.13808</v>
      </c>
      <c r="N32" s="331">
        <v>0.1376</v>
      </c>
      <c r="O32" s="331">
        <v>0.0264</v>
      </c>
      <c r="P32" s="331">
        <v>0.06656000000000001</v>
      </c>
      <c r="Q32" s="4">
        <f t="shared" si="0"/>
        <v>1.25648</v>
      </c>
      <c r="R32" s="141"/>
    </row>
    <row r="33" spans="3:18" ht="120.75" customHeight="1">
      <c r="C33" s="335" t="s">
        <v>104</v>
      </c>
      <c r="D33" s="1"/>
      <c r="E33" s="4"/>
      <c r="F33" s="4"/>
      <c r="G33" s="4"/>
      <c r="H33" s="185">
        <f>SUM(H9:H32)</f>
        <v>4.82004</v>
      </c>
      <c r="I33" s="185">
        <f aca="true" t="shared" si="1" ref="I33:Q33">SUM(I9:I32)</f>
        <v>5.982360000000001</v>
      </c>
      <c r="J33" s="185">
        <f t="shared" si="1"/>
        <v>2.19012</v>
      </c>
      <c r="K33" s="185">
        <f t="shared" si="1"/>
        <v>14.872499999999999</v>
      </c>
      <c r="L33" s="185">
        <f t="shared" si="1"/>
        <v>2.9830399999999995</v>
      </c>
      <c r="M33" s="185">
        <f t="shared" si="1"/>
        <v>4.632080000000001</v>
      </c>
      <c r="N33" s="185">
        <f t="shared" si="1"/>
        <v>5.1478399999999995</v>
      </c>
      <c r="O33" s="185">
        <f t="shared" si="1"/>
        <v>1.2207999999999999</v>
      </c>
      <c r="P33" s="185">
        <f t="shared" si="1"/>
        <v>2.8645600000000004</v>
      </c>
      <c r="Q33" s="185">
        <f t="shared" si="1"/>
        <v>44.71334</v>
      </c>
      <c r="R33" s="141"/>
    </row>
    <row r="34" spans="3:18" ht="14.25" customHeight="1">
      <c r="C34" s="33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37"/>
    </row>
    <row r="35" spans="3:18" ht="24.75" customHeight="1">
      <c r="C35" s="279" t="s">
        <v>200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1"/>
    </row>
    <row r="36" spans="3:18" ht="11.25" customHeight="1">
      <c r="C36" s="33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37"/>
    </row>
    <row r="37" spans="3:18" ht="28.5" customHeight="1" thickBot="1">
      <c r="C37" s="261" t="s">
        <v>196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3"/>
    </row>
    <row r="38" ht="39" customHeight="1"/>
  </sheetData>
  <sheetProtection/>
  <mergeCells count="37">
    <mergeCell ref="O1:P1"/>
    <mergeCell ref="C1:I1"/>
    <mergeCell ref="C2:R2"/>
    <mergeCell ref="Q5:Q6"/>
    <mergeCell ref="D7:D8"/>
    <mergeCell ref="D5:D6"/>
    <mergeCell ref="E5:E6"/>
    <mergeCell ref="F5:F6"/>
    <mergeCell ref="G5:G6"/>
    <mergeCell ref="H5:H6"/>
    <mergeCell ref="C3:R3"/>
    <mergeCell ref="C4:C8"/>
    <mergeCell ref="D4:G4"/>
    <mergeCell ref="H4:Q4"/>
    <mergeCell ref="I5:I6"/>
    <mergeCell ref="J5:J6"/>
    <mergeCell ref="K5:K6"/>
    <mergeCell ref="L5:L6"/>
    <mergeCell ref="N5:N6"/>
    <mergeCell ref="O5:O6"/>
    <mergeCell ref="C35:R35"/>
    <mergeCell ref="C37:R37"/>
    <mergeCell ref="F7:F8"/>
    <mergeCell ref="G7:G8"/>
    <mergeCell ref="H7:H8"/>
    <mergeCell ref="I7:I8"/>
    <mergeCell ref="Q7:Q8"/>
    <mergeCell ref="E7:E8"/>
    <mergeCell ref="M5:M6"/>
    <mergeCell ref="P5:P6"/>
    <mergeCell ref="J7:J8"/>
    <mergeCell ref="K7:K8"/>
    <mergeCell ref="L7:L8"/>
    <mergeCell ref="M7:M8"/>
    <mergeCell ref="N7:N8"/>
    <mergeCell ref="O7:O8"/>
    <mergeCell ref="P7:P8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2009-11-30T13:20:47Z</cp:lastPrinted>
  <dcterms:created xsi:type="dcterms:W3CDTF">2006-09-28T05:33:49Z</dcterms:created>
  <dcterms:modified xsi:type="dcterms:W3CDTF">2021-12-20T10:29:28Z</dcterms:modified>
  <cp:category/>
  <cp:version/>
  <cp:contentType/>
  <cp:contentStatus/>
</cp:coreProperties>
</file>